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3040" windowHeight="9375" firstSheet="6" activeTab="6"/>
  </bookViews>
  <sheets>
    <sheet name="Gorkiego 18" sheetId="10" state="hidden" r:id="rId1"/>
    <sheet name="Piłsudskiego 133" sheetId="9" state="hidden" r:id="rId2"/>
    <sheet name="Siedlecka 1" sheetId="7" state="hidden" r:id="rId3"/>
    <sheet name="Krzemieniecka 2a" sheetId="8" state="hidden" r:id="rId4"/>
    <sheet name="Struga 90" sheetId="1" state="hidden" r:id="rId5"/>
    <sheet name="Struga 90 - obmiar" sheetId="6" state="hidden" r:id="rId6"/>
    <sheet name="Kosztorys" sheetId="17" r:id="rId7"/>
  </sheets>
  <externalReferences>
    <externalReference r:id="rId8"/>
  </externalReferences>
  <definedNames>
    <definedName name="_xlnm.Print_Area" localSheetId="0">'Gorkiego 18'!$A$1:$I$72</definedName>
    <definedName name="_xlnm.Print_Area" localSheetId="3">'Krzemieniecka 2a'!$A$1:$I$65</definedName>
    <definedName name="_xlnm.Print_Area" localSheetId="1">'Piłsudskiego 133'!$A$1:$I$80</definedName>
  </definedNames>
  <calcPr calcId="144525"/>
</workbook>
</file>

<file path=xl/calcChain.xml><?xml version="1.0" encoding="utf-8"?>
<calcChain xmlns="http://schemas.openxmlformats.org/spreadsheetml/2006/main">
  <c r="J38" i="17" l="1"/>
  <c r="J18" i="17" l="1"/>
  <c r="J16" i="17" s="1"/>
  <c r="K18" i="17" l="1"/>
  <c r="J25" i="17"/>
  <c r="K25" i="17" s="1"/>
  <c r="J15" i="17"/>
  <c r="K15" i="17" s="1"/>
  <c r="J24" i="17"/>
  <c r="K24" i="17" s="1"/>
  <c r="J12" i="17"/>
  <c r="K12" i="17" s="1"/>
  <c r="J27" i="17"/>
  <c r="K27" i="17" s="1"/>
  <c r="J26" i="17"/>
  <c r="K26" i="17" s="1"/>
  <c r="J23" i="17"/>
  <c r="K23" i="17" s="1"/>
  <c r="J22" i="17"/>
  <c r="K22" i="17" s="1"/>
  <c r="J35" i="17" l="1"/>
  <c r="J37" i="17"/>
  <c r="K37" i="17" s="1"/>
  <c r="K35" i="17" l="1"/>
  <c r="J34" i="17"/>
  <c r="J21" i="17"/>
  <c r="K21" i="17" s="1"/>
  <c r="J20" i="17"/>
  <c r="K20" i="17" s="1"/>
  <c r="J11" i="17"/>
  <c r="K11" i="17" l="1"/>
  <c r="J10" i="17"/>
  <c r="K10" i="17" s="1"/>
  <c r="J19" i="17"/>
  <c r="J14" i="17"/>
  <c r="J13" i="17" s="1"/>
  <c r="K16" i="17"/>
  <c r="K17" i="17"/>
  <c r="K14" i="17" l="1"/>
  <c r="K19" i="17"/>
  <c r="K13" i="17" l="1"/>
  <c r="K34" i="17" l="1"/>
  <c r="K38" i="17" l="1"/>
  <c r="G54" i="9" l="1"/>
  <c r="M71" i="9"/>
  <c r="H67" i="9"/>
  <c r="G67" i="9" s="1"/>
  <c r="F67" i="9" s="1"/>
  <c r="H12" i="9" l="1"/>
  <c r="G57" i="9"/>
  <c r="H57" i="9" s="1"/>
  <c r="H56" i="9"/>
  <c r="G55" i="9"/>
  <c r="H55" i="9" s="1"/>
  <c r="H51" i="9"/>
  <c r="G50" i="9"/>
  <c r="H50" i="9" s="1"/>
  <c r="H47" i="9"/>
  <c r="G45" i="9"/>
  <c r="H45" i="9" s="1"/>
  <c r="G44" i="9"/>
  <c r="H44" i="9" s="1"/>
  <c r="G42" i="9"/>
  <c r="H42" i="9" s="1"/>
  <c r="G40" i="9"/>
  <c r="H40" i="9" s="1"/>
  <c r="G38" i="9"/>
  <c r="H38" i="9" s="1"/>
  <c r="H37" i="9"/>
  <c r="H36" i="9"/>
  <c r="G33" i="9"/>
  <c r="H33" i="9" s="1"/>
  <c r="G31" i="9"/>
  <c r="H31" i="9" s="1"/>
  <c r="G30" i="9"/>
  <c r="H30" i="9" s="1"/>
  <c r="G28" i="9"/>
  <c r="H28" i="9" s="1"/>
  <c r="G25" i="9"/>
  <c r="H25" i="9" s="1"/>
  <c r="G24" i="9"/>
  <c r="H24" i="9" s="1"/>
  <c r="H23" i="9"/>
  <c r="G22" i="9"/>
  <c r="H22" i="9" s="1"/>
  <c r="H21" i="9"/>
  <c r="G20" i="9"/>
  <c r="H20" i="9" s="1"/>
  <c r="G19" i="9"/>
  <c r="H19" i="9" s="1"/>
  <c r="H18" i="9"/>
  <c r="H17" i="9"/>
  <c r="H16" i="9"/>
  <c r="G14" i="9"/>
  <c r="H14" i="9" s="1"/>
  <c r="G11" i="9"/>
  <c r="H11" i="9" s="1"/>
  <c r="G8" i="9"/>
  <c r="H8" i="9" s="1"/>
  <c r="G7" i="9"/>
  <c r="H7" i="9" s="1"/>
  <c r="H14" i="10" l="1"/>
  <c r="G79" i="9"/>
  <c r="G78" i="9"/>
  <c r="G77" i="9"/>
  <c r="G76" i="9"/>
  <c r="H40" i="10"/>
  <c r="G40" i="10"/>
  <c r="H72" i="10"/>
  <c r="G71" i="10"/>
  <c r="G70" i="10"/>
  <c r="G69" i="10"/>
  <c r="G67" i="10"/>
  <c r="G66" i="10"/>
  <c r="G65" i="10"/>
  <c r="G64" i="10"/>
  <c r="G49" i="10"/>
  <c r="G41" i="10"/>
  <c r="H76" i="1"/>
  <c r="G75" i="1"/>
  <c r="G74" i="1"/>
  <c r="G72" i="1"/>
  <c r="G69" i="1"/>
  <c r="G68" i="1"/>
  <c r="G67" i="1"/>
  <c r="G66" i="1"/>
  <c r="G65" i="1"/>
  <c r="G64" i="1"/>
  <c r="G63" i="1"/>
  <c r="G62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21" i="1" l="1"/>
  <c r="H21" i="1" s="1"/>
  <c r="H20" i="1"/>
  <c r="H39" i="1"/>
  <c r="H65" i="8"/>
  <c r="G57" i="8"/>
  <c r="G56" i="8"/>
  <c r="G64" i="8"/>
  <c r="G63" i="8"/>
  <c r="G61" i="8"/>
  <c r="G60" i="8"/>
  <c r="G59" i="8"/>
  <c r="G58" i="8"/>
  <c r="H68" i="7"/>
  <c r="G64" i="7"/>
  <c r="G65" i="7"/>
  <c r="G66" i="7"/>
  <c r="G67" i="7"/>
  <c r="H75" i="9"/>
  <c r="G75" i="9"/>
  <c r="H80" i="9" l="1"/>
  <c r="G36" i="1" l="1"/>
  <c r="H36" i="1" s="1"/>
  <c r="G26" i="1" l="1"/>
  <c r="H26" i="1" s="1"/>
  <c r="G25" i="1"/>
  <c r="H25" i="1" s="1"/>
  <c r="G24" i="1"/>
  <c r="H24" i="1" s="1"/>
  <c r="G9" i="1"/>
  <c r="H9" i="1" s="1"/>
  <c r="G7" i="1"/>
  <c r="H7" i="1" s="1"/>
  <c r="G42" i="7"/>
  <c r="H42" i="7" s="1"/>
  <c r="G17" i="8"/>
  <c r="H17" i="8" s="1"/>
  <c r="G21" i="8"/>
  <c r="H21" i="8" s="1"/>
  <c r="G47" i="8"/>
  <c r="H47" i="8" s="1"/>
  <c r="G34" i="8"/>
  <c r="H34" i="8" s="1"/>
  <c r="E52" i="7" l="1"/>
  <c r="G52" i="7" s="1"/>
  <c r="H52" i="7" s="1"/>
  <c r="G51" i="7"/>
  <c r="H51" i="7" s="1"/>
  <c r="E40" i="7"/>
  <c r="G40" i="7" s="1"/>
  <c r="H40" i="7" s="1"/>
  <c r="G50" i="7"/>
  <c r="G58" i="7"/>
  <c r="H58" i="7" s="1"/>
  <c r="G43" i="7"/>
  <c r="H43" i="7" s="1"/>
  <c r="G37" i="7"/>
  <c r="G38" i="7"/>
  <c r="H38" i="7" s="1"/>
  <c r="G41" i="7"/>
  <c r="H41" i="7" s="1"/>
  <c r="G39" i="7"/>
  <c r="H39" i="7" s="1"/>
  <c r="G32" i="7"/>
  <c r="H32" i="7" s="1"/>
  <c r="G33" i="7"/>
  <c r="H33" i="7" s="1"/>
  <c r="E27" i="7" l="1"/>
  <c r="G27" i="7" s="1"/>
  <c r="H27" i="7" s="1"/>
  <c r="E26" i="7"/>
  <c r="G29" i="8"/>
  <c r="H29" i="8" s="1"/>
  <c r="G28" i="8"/>
  <c r="H28" i="8" s="1"/>
  <c r="G7" i="8"/>
  <c r="H7" i="8"/>
  <c r="G9" i="8"/>
  <c r="H9" i="8" s="1"/>
  <c r="G46" i="7" l="1"/>
  <c r="H46" i="7" s="1"/>
  <c r="H37" i="7"/>
  <c r="H49" i="7"/>
  <c r="H50" i="7"/>
  <c r="G29" i="7"/>
  <c r="H29" i="7" s="1"/>
  <c r="G30" i="7"/>
  <c r="H30" i="7" s="1"/>
  <c r="G31" i="7"/>
  <c r="H31" i="7" s="1"/>
  <c r="E25" i="7"/>
  <c r="G20" i="7"/>
  <c r="H20" i="7" s="1"/>
  <c r="G14" i="7"/>
  <c r="H14" i="7" s="1"/>
  <c r="G23" i="8"/>
  <c r="H23" i="8" s="1"/>
  <c r="G24" i="7"/>
  <c r="H24" i="7" s="1"/>
  <c r="G8" i="7"/>
  <c r="H8" i="7" s="1"/>
  <c r="G15" i="7"/>
  <c r="H15" i="7" s="1"/>
  <c r="G7" i="7"/>
  <c r="H7" i="7" s="1"/>
  <c r="E46" i="9" l="1"/>
  <c r="G46" i="9" s="1"/>
  <c r="H46" i="9" s="1"/>
  <c r="G22" i="7"/>
  <c r="H22" i="7" s="1"/>
  <c r="E49" i="9"/>
  <c r="G49" i="9" s="1"/>
  <c r="H49" i="9" s="1"/>
  <c r="G68" i="9" l="1"/>
  <c r="H68" i="9" s="1"/>
  <c r="G66" i="9"/>
  <c r="H66" i="9" s="1"/>
  <c r="G65" i="9"/>
  <c r="H65" i="9" s="1"/>
  <c r="G63" i="9"/>
  <c r="H63" i="9" s="1"/>
  <c r="G61" i="9"/>
  <c r="H61" i="9" s="1"/>
  <c r="G12" i="7"/>
  <c r="H12" i="7" s="1"/>
  <c r="G21" i="7" l="1"/>
  <c r="H21" i="7" s="1"/>
  <c r="H38" i="1" l="1"/>
  <c r="G55" i="7"/>
  <c r="H55" i="7" s="1"/>
  <c r="G6" i="8" l="1"/>
  <c r="H6" i="8" s="1"/>
  <c r="G8" i="8"/>
  <c r="H8" i="8" s="1"/>
  <c r="G26" i="8"/>
  <c r="H26" i="8" s="1"/>
  <c r="G44" i="8"/>
  <c r="H44" i="8" s="1"/>
  <c r="E30" i="8"/>
  <c r="G30" i="8" s="1"/>
  <c r="H30" i="8" s="1"/>
  <c r="G12" i="8"/>
  <c r="H12" i="8" s="1"/>
  <c r="G13" i="8"/>
  <c r="H13" i="8" s="1"/>
  <c r="G10" i="8"/>
  <c r="H10" i="8" s="1"/>
  <c r="G11" i="8"/>
  <c r="H11" i="8" s="1"/>
  <c r="G31" i="8"/>
  <c r="H31" i="8" s="1"/>
  <c r="E32" i="8"/>
  <c r="G32" i="8" s="1"/>
  <c r="H32" i="8" s="1"/>
  <c r="E33" i="8"/>
  <c r="G33" i="8" s="1"/>
  <c r="H33" i="8" s="1"/>
  <c r="E46" i="8"/>
  <c r="G46" i="8" s="1"/>
  <c r="H46" i="8" s="1"/>
  <c r="E43" i="8"/>
  <c r="G43" i="8" s="1"/>
  <c r="H43" i="8" s="1"/>
  <c r="E38" i="8"/>
  <c r="G38" i="8" s="1"/>
  <c r="H38" i="8" s="1"/>
  <c r="G42" i="8"/>
  <c r="H42" i="8" s="1"/>
  <c r="G39" i="8"/>
  <c r="H39" i="8" s="1"/>
  <c r="G37" i="8"/>
  <c r="H37" i="8" s="1"/>
  <c r="G36" i="8"/>
  <c r="H36" i="8" s="1"/>
  <c r="G27" i="8"/>
  <c r="H27" i="8" s="1"/>
  <c r="E37" i="8"/>
  <c r="G24" i="8"/>
  <c r="H24" i="8" s="1"/>
  <c r="E16" i="9" l="1"/>
  <c r="E15" i="9"/>
  <c r="G15" i="9" s="1"/>
  <c r="H15" i="9" s="1"/>
  <c r="E43" i="9"/>
  <c r="G43" i="9" s="1"/>
  <c r="H43" i="9" s="1"/>
  <c r="E54" i="9"/>
  <c r="E39" i="9"/>
  <c r="G39" i="9" s="1"/>
  <c r="H39" i="9" s="1"/>
  <c r="E34" i="9"/>
  <c r="G34" i="9" s="1"/>
  <c r="H34" i="9" s="1"/>
  <c r="E32" i="9"/>
  <c r="G32" i="9" s="1"/>
  <c r="H32" i="9" s="1"/>
  <c r="E62" i="9"/>
  <c r="G62" i="9" s="1"/>
  <c r="H62" i="9" s="1"/>
  <c r="E64" i="9"/>
  <c r="G64" i="9" s="1"/>
  <c r="H64" i="9" s="1"/>
  <c r="E17" i="10"/>
  <c r="G17" i="10" s="1"/>
  <c r="H17" i="10" s="1"/>
  <c r="G31" i="10"/>
  <c r="H31" i="10" s="1"/>
  <c r="G32" i="10"/>
  <c r="H32" i="10" s="1"/>
  <c r="G33" i="10"/>
  <c r="H33" i="10" s="1"/>
  <c r="G12" i="10"/>
  <c r="H12" i="10" s="1"/>
  <c r="G20" i="10"/>
  <c r="H20" i="10" s="1"/>
  <c r="G16" i="10"/>
  <c r="H16" i="10" s="1"/>
  <c r="G13" i="10"/>
  <c r="G14" i="10"/>
  <c r="G15" i="10"/>
  <c r="H15" i="10" s="1"/>
  <c r="G6" i="10"/>
  <c r="G7" i="10"/>
  <c r="G10" i="10"/>
  <c r="E30" i="10"/>
  <c r="G30" i="10" s="1"/>
  <c r="H30" i="10" s="1"/>
  <c r="E29" i="10"/>
  <c r="G29" i="10" s="1"/>
  <c r="H29" i="10" s="1"/>
  <c r="E18" i="10"/>
  <c r="E19" i="10"/>
  <c r="G19" i="10" s="1"/>
  <c r="H19" i="10" s="1"/>
  <c r="G18" i="10" l="1"/>
  <c r="H18" i="10" s="1"/>
  <c r="G20" i="8" l="1"/>
  <c r="H20" i="8" s="1"/>
  <c r="G18" i="7"/>
  <c r="H18" i="7" s="1"/>
  <c r="H24" i="10"/>
  <c r="G26" i="7" l="1"/>
  <c r="H26" i="7" s="1"/>
  <c r="G10" i="7"/>
  <c r="H10" i="7" s="1"/>
  <c r="G9" i="7"/>
  <c r="H9" i="7" s="1"/>
  <c r="G54" i="7"/>
  <c r="H54" i="7" s="1"/>
  <c r="H57" i="7"/>
  <c r="H35" i="7"/>
  <c r="H36" i="7"/>
  <c r="G48" i="7"/>
  <c r="H48" i="7" s="1"/>
  <c r="G28" i="7"/>
  <c r="H28" i="7" s="1"/>
  <c r="H11" i="7"/>
  <c r="G17" i="7"/>
  <c r="H17" i="7" s="1"/>
  <c r="E19" i="7"/>
  <c r="G19" i="7" s="1"/>
  <c r="H19" i="7" s="1"/>
  <c r="E9" i="9"/>
  <c r="G9" i="9" s="1"/>
  <c r="H9" i="9" s="1"/>
  <c r="H58" i="9" s="1"/>
  <c r="J58" i="9" s="1"/>
  <c r="G25" i="7" l="1"/>
  <c r="H25" i="7" s="1"/>
  <c r="H59" i="7" s="1"/>
  <c r="H40" i="8"/>
  <c r="H10" i="1"/>
  <c r="H8" i="1"/>
  <c r="G33" i="1"/>
  <c r="H33" i="1" s="1"/>
  <c r="G37" i="1"/>
  <c r="H37" i="1" s="1"/>
  <c r="H28" i="1"/>
  <c r="G15" i="1"/>
  <c r="H15" i="1" s="1"/>
  <c r="G23" i="1"/>
  <c r="H23" i="1" s="1"/>
  <c r="G35" i="1"/>
  <c r="H35" i="1" s="1"/>
  <c r="H34" i="1"/>
  <c r="H27" i="1"/>
  <c r="H30" i="1"/>
  <c r="H40" i="1"/>
  <c r="G17" i="1"/>
  <c r="H17" i="1" s="1"/>
  <c r="G25" i="8"/>
  <c r="H25" i="8" s="1"/>
  <c r="G5" i="8"/>
  <c r="H5" i="8" s="1"/>
  <c r="H51" i="8" s="1"/>
  <c r="E16" i="8"/>
  <c r="G16" i="8" s="1"/>
  <c r="H16" i="8" s="1"/>
  <c r="G11" i="10"/>
  <c r="H11" i="10" s="1"/>
  <c r="H7" i="10"/>
  <c r="H6" i="10"/>
  <c r="H25" i="10" l="1"/>
  <c r="H41" i="1"/>
  <c r="I127" i="6"/>
  <c r="I191" i="6"/>
  <c r="G154" i="6"/>
  <c r="G153" i="6"/>
  <c r="H157" i="6"/>
  <c r="N147" i="6"/>
  <c r="N146" i="6" s="1"/>
  <c r="K147" i="6"/>
  <c r="G142" i="6"/>
  <c r="N144" i="6"/>
  <c r="O144" i="6" s="1"/>
  <c r="N143" i="6"/>
  <c r="O143" i="6" s="1"/>
  <c r="K144" i="6"/>
  <c r="K143" i="6"/>
  <c r="N122" i="6"/>
  <c r="O122" i="6" s="1"/>
  <c r="N123" i="6"/>
  <c r="O123" i="6" s="1"/>
  <c r="N124" i="6"/>
  <c r="O124" i="6" s="1"/>
  <c r="N121" i="6"/>
  <c r="O121" i="6" s="1"/>
  <c r="K122" i="6"/>
  <c r="K123" i="6"/>
  <c r="K124" i="6"/>
  <c r="K121" i="6"/>
  <c r="G122" i="6"/>
  <c r="G121" i="6"/>
  <c r="N112" i="6"/>
  <c r="O112" i="6" s="1"/>
  <c r="N110" i="6"/>
  <c r="N109" i="6" s="1"/>
  <c r="K112" i="6"/>
  <c r="K110" i="6"/>
  <c r="N92" i="6"/>
  <c r="O92" i="6" s="1"/>
  <c r="K92" i="6"/>
  <c r="N66" i="6"/>
  <c r="O66" i="6" s="1"/>
  <c r="N67" i="6"/>
  <c r="O67" i="6" s="1"/>
  <c r="N68" i="6"/>
  <c r="O68" i="6" s="1"/>
  <c r="N69" i="6"/>
  <c r="O69" i="6" s="1"/>
  <c r="N70" i="6"/>
  <c r="O70" i="6" s="1"/>
  <c r="N65" i="6"/>
  <c r="K67" i="6"/>
  <c r="K68" i="6"/>
  <c r="K69" i="6"/>
  <c r="K70" i="6"/>
  <c r="K66" i="6"/>
  <c r="K65" i="6"/>
  <c r="N183" i="6"/>
  <c r="N184" i="6"/>
  <c r="O184" i="6" s="1"/>
  <c r="N185" i="6"/>
  <c r="O185" i="6" s="1"/>
  <c r="N186" i="6"/>
  <c r="O186" i="6" s="1"/>
  <c r="N187" i="6"/>
  <c r="O187" i="6" s="1"/>
  <c r="N188" i="6"/>
  <c r="O188" i="6" s="1"/>
  <c r="N189" i="6"/>
  <c r="O189" i="6" s="1"/>
  <c r="N182" i="6"/>
  <c r="O182" i="6" s="1"/>
  <c r="K183" i="6"/>
  <c r="K184" i="6"/>
  <c r="K185" i="6"/>
  <c r="K186" i="6"/>
  <c r="K187" i="6"/>
  <c r="K188" i="6"/>
  <c r="K189" i="6"/>
  <c r="K182" i="6"/>
  <c r="N179" i="6"/>
  <c r="O179" i="6" s="1"/>
  <c r="N178" i="6"/>
  <c r="O178" i="6" s="1"/>
  <c r="K179" i="6"/>
  <c r="K178" i="6"/>
  <c r="N172" i="6"/>
  <c r="K172" i="6"/>
  <c r="K170" i="6"/>
  <c r="K169" i="6" s="1"/>
  <c r="N165" i="6"/>
  <c r="K165" i="6"/>
  <c r="K162" i="6"/>
  <c r="N150" i="6"/>
  <c r="O150" i="6" s="1"/>
  <c r="K150" i="6"/>
  <c r="N131" i="6"/>
  <c r="O131" i="6" s="1"/>
  <c r="N132" i="6"/>
  <c r="O132" i="6" s="1"/>
  <c r="N133" i="6"/>
  <c r="O133" i="6" s="1"/>
  <c r="N134" i="6"/>
  <c r="O134" i="6" s="1"/>
  <c r="K131" i="6"/>
  <c r="K132" i="6"/>
  <c r="N180" i="6"/>
  <c r="O180" i="6" s="1"/>
  <c r="K180" i="6"/>
  <c r="N177" i="6"/>
  <c r="O177" i="6" s="1"/>
  <c r="K177" i="6"/>
  <c r="N176" i="6"/>
  <c r="O176" i="6" s="1"/>
  <c r="K176" i="6"/>
  <c r="N175" i="6"/>
  <c r="O175" i="6" s="1"/>
  <c r="K175" i="6"/>
  <c r="G174" i="6"/>
  <c r="N173" i="6"/>
  <c r="O173" i="6" s="1"/>
  <c r="K173" i="6"/>
  <c r="G171" i="6"/>
  <c r="N170" i="6"/>
  <c r="G169" i="6"/>
  <c r="N168" i="6"/>
  <c r="O168" i="6" s="1"/>
  <c r="O167" i="6" s="1"/>
  <c r="K168" i="6"/>
  <c r="G167" i="6"/>
  <c r="N166" i="6"/>
  <c r="O166" i="6" s="1"/>
  <c r="K166" i="6"/>
  <c r="K164" i="6" s="1"/>
  <c r="N163" i="6"/>
  <c r="O163" i="6" s="1"/>
  <c r="K163" i="6"/>
  <c r="N161" i="6"/>
  <c r="O161" i="6" s="1"/>
  <c r="K161" i="6"/>
  <c r="G160" i="6"/>
  <c r="N159" i="6"/>
  <c r="N158" i="6" s="1"/>
  <c r="K159" i="6"/>
  <c r="K158" i="6" s="1"/>
  <c r="G157" i="6"/>
  <c r="N156" i="6"/>
  <c r="O156" i="6" s="1"/>
  <c r="K156" i="6"/>
  <c r="K155" i="6" s="1"/>
  <c r="G155" i="6"/>
  <c r="N154" i="6"/>
  <c r="O154" i="6" s="1"/>
  <c r="K154" i="6"/>
  <c r="N153" i="6"/>
  <c r="O153" i="6" s="1"/>
  <c r="K153" i="6"/>
  <c r="N151" i="6"/>
  <c r="O151" i="6" s="1"/>
  <c r="K151" i="6"/>
  <c r="K149" i="6" s="1"/>
  <c r="G149" i="6"/>
  <c r="N148" i="6"/>
  <c r="O148" i="6" s="1"/>
  <c r="K148" i="6"/>
  <c r="G146" i="6"/>
  <c r="N145" i="6"/>
  <c r="K145" i="6"/>
  <c r="K142" i="6"/>
  <c r="N141" i="6"/>
  <c r="O141" i="6" s="1"/>
  <c r="K141" i="6"/>
  <c r="N140" i="6"/>
  <c r="O140" i="6" s="1"/>
  <c r="K140" i="6"/>
  <c r="G139" i="6"/>
  <c r="N138" i="6"/>
  <c r="O138" i="6" s="1"/>
  <c r="K138" i="6"/>
  <c r="G137" i="6"/>
  <c r="N136" i="6"/>
  <c r="O136" i="6" s="1"/>
  <c r="K136" i="6"/>
  <c r="K135" i="6" s="1"/>
  <c r="G135" i="6"/>
  <c r="K134" i="6"/>
  <c r="K133" i="6"/>
  <c r="N130" i="6"/>
  <c r="O130" i="6" s="1"/>
  <c r="K130" i="6"/>
  <c r="G129" i="6"/>
  <c r="N116" i="6"/>
  <c r="O116" i="6" s="1"/>
  <c r="K116" i="6"/>
  <c r="N106" i="6"/>
  <c r="O106" i="6" s="1"/>
  <c r="N107" i="6"/>
  <c r="O107" i="6" s="1"/>
  <c r="N105" i="6"/>
  <c r="K106" i="6"/>
  <c r="K107" i="6"/>
  <c r="K105" i="6"/>
  <c r="N100" i="6"/>
  <c r="O100" i="6" s="1"/>
  <c r="N99" i="6"/>
  <c r="N96" i="6"/>
  <c r="O96" i="6" s="1"/>
  <c r="N95" i="6"/>
  <c r="O95" i="6" s="1"/>
  <c r="K96" i="6"/>
  <c r="K97" i="6"/>
  <c r="K95" i="6"/>
  <c r="N89" i="6"/>
  <c r="O89" i="6" s="1"/>
  <c r="K89" i="6"/>
  <c r="N84" i="6"/>
  <c r="O84" i="6" s="1"/>
  <c r="N83" i="6"/>
  <c r="O83" i="6" s="1"/>
  <c r="K84" i="6"/>
  <c r="K83" i="6"/>
  <c r="N80" i="6"/>
  <c r="O80" i="6" s="1"/>
  <c r="N79" i="6"/>
  <c r="O79" i="6" s="1"/>
  <c r="N81" i="6"/>
  <c r="O81" i="6" s="1"/>
  <c r="K80" i="6"/>
  <c r="K79" i="6"/>
  <c r="K81" i="6"/>
  <c r="K78" i="6" s="1"/>
  <c r="G66" i="6"/>
  <c r="G65" i="6"/>
  <c r="N57" i="6"/>
  <c r="O57" i="6" s="1"/>
  <c r="N52" i="6"/>
  <c r="N51" i="6" s="1"/>
  <c r="K53" i="6"/>
  <c r="K52" i="6"/>
  <c r="K54" i="6"/>
  <c r="N125" i="6"/>
  <c r="K125" i="6"/>
  <c r="N119" i="6"/>
  <c r="O119" i="6" s="1"/>
  <c r="O118" i="6" s="1"/>
  <c r="K119" i="6"/>
  <c r="K118" i="6" s="1"/>
  <c r="N117" i="6"/>
  <c r="O117" i="6" s="1"/>
  <c r="K117" i="6"/>
  <c r="N114" i="6"/>
  <c r="O114" i="6" s="1"/>
  <c r="O113" i="6" s="1"/>
  <c r="K114" i="6"/>
  <c r="K113" i="6" s="1"/>
  <c r="N111" i="6"/>
  <c r="O111" i="6" s="1"/>
  <c r="K111" i="6"/>
  <c r="N108" i="6"/>
  <c r="O108" i="6" s="1"/>
  <c r="K108" i="6"/>
  <c r="G104" i="6"/>
  <c r="N103" i="6"/>
  <c r="N102" i="6" s="1"/>
  <c r="K103" i="6"/>
  <c r="K102" i="6" s="1"/>
  <c r="N101" i="6"/>
  <c r="K101" i="6"/>
  <c r="K98" i="6" s="1"/>
  <c r="N97" i="6"/>
  <c r="N94" i="6" s="1"/>
  <c r="N93" i="6"/>
  <c r="N91" i="6" s="1"/>
  <c r="K93" i="6"/>
  <c r="K91" i="6" s="1"/>
  <c r="N90" i="6"/>
  <c r="N88" i="6" s="1"/>
  <c r="K90" i="6"/>
  <c r="N87" i="6"/>
  <c r="O87" i="6" s="1"/>
  <c r="O86" i="6" s="1"/>
  <c r="K87" i="6"/>
  <c r="K86" i="6" s="1"/>
  <c r="N85" i="6"/>
  <c r="O85" i="6" s="1"/>
  <c r="K85" i="6"/>
  <c r="K82" i="6" s="1"/>
  <c r="K44" i="6"/>
  <c r="N47" i="6"/>
  <c r="O47" i="6" s="1"/>
  <c r="N46" i="6"/>
  <c r="O46" i="6" s="1"/>
  <c r="K46" i="6"/>
  <c r="K45" i="6" s="1"/>
  <c r="G45" i="6"/>
  <c r="N37" i="6"/>
  <c r="K37" i="6"/>
  <c r="N29" i="6"/>
  <c r="O29" i="6" s="1"/>
  <c r="K29" i="6"/>
  <c r="K30" i="6"/>
  <c r="K31" i="6"/>
  <c r="K32" i="6"/>
  <c r="K33" i="6"/>
  <c r="K34" i="6"/>
  <c r="K35" i="6"/>
  <c r="N26" i="6"/>
  <c r="O26" i="6" s="1"/>
  <c r="K21" i="6"/>
  <c r="K22" i="6"/>
  <c r="N10" i="6"/>
  <c r="O10" i="6" s="1"/>
  <c r="N11" i="6"/>
  <c r="O11" i="6" s="1"/>
  <c r="N12" i="6"/>
  <c r="O12" i="6" s="1"/>
  <c r="N13" i="6"/>
  <c r="O13" i="6" s="1"/>
  <c r="N77" i="6"/>
  <c r="O77" i="6" s="1"/>
  <c r="K77" i="6"/>
  <c r="N76" i="6"/>
  <c r="O76" i="6" s="1"/>
  <c r="K76" i="6"/>
  <c r="N74" i="6"/>
  <c r="O74" i="6" s="1"/>
  <c r="K74" i="6"/>
  <c r="N72" i="6"/>
  <c r="O72" i="6" s="1"/>
  <c r="K72" i="6"/>
  <c r="N63" i="6"/>
  <c r="O63" i="6" s="1"/>
  <c r="K63" i="6"/>
  <c r="N62" i="6"/>
  <c r="O62" i="6" s="1"/>
  <c r="K62" i="6"/>
  <c r="G61" i="6"/>
  <c r="N60" i="6"/>
  <c r="O60" i="6" s="1"/>
  <c r="K60" i="6"/>
  <c r="N59" i="6"/>
  <c r="O59" i="6" s="1"/>
  <c r="K59" i="6"/>
  <c r="K57" i="6"/>
  <c r="N56" i="6"/>
  <c r="O56" i="6" s="1"/>
  <c r="K56" i="6"/>
  <c r="K55" i="6" s="1"/>
  <c r="G55" i="6"/>
  <c r="G51" i="6"/>
  <c r="N44" i="6"/>
  <c r="O44" i="6" s="1"/>
  <c r="N43" i="6"/>
  <c r="O43" i="6" s="1"/>
  <c r="K43" i="6"/>
  <c r="G42" i="6"/>
  <c r="N41" i="6"/>
  <c r="O41" i="6" s="1"/>
  <c r="K41" i="6"/>
  <c r="N40" i="6"/>
  <c r="O40" i="6" s="1"/>
  <c r="K40" i="6"/>
  <c r="N38" i="6"/>
  <c r="O38" i="6" s="1"/>
  <c r="K38" i="6"/>
  <c r="K36" i="6" s="1"/>
  <c r="G36" i="6"/>
  <c r="N28" i="6"/>
  <c r="K28" i="6"/>
  <c r="N25" i="6"/>
  <c r="O25" i="6" s="1"/>
  <c r="N24" i="6"/>
  <c r="O24" i="6" s="1"/>
  <c r="K24" i="6"/>
  <c r="K23" i="6" s="1"/>
  <c r="N20" i="6"/>
  <c r="O20" i="6" s="1"/>
  <c r="O19" i="6" s="1"/>
  <c r="K20" i="6"/>
  <c r="G19" i="6"/>
  <c r="N18" i="6"/>
  <c r="O18" i="6" s="1"/>
  <c r="O17" i="6" s="1"/>
  <c r="K16" i="6"/>
  <c r="K14" i="6" s="1"/>
  <c r="G17" i="6"/>
  <c r="N16" i="6"/>
  <c r="O16" i="6" s="1"/>
  <c r="N15" i="6"/>
  <c r="O15" i="6" s="1"/>
  <c r="G14" i="6"/>
  <c r="N9" i="6"/>
  <c r="O9" i="6" s="1"/>
  <c r="K9" i="6"/>
  <c r="K8" i="6" s="1"/>
  <c r="G8" i="6"/>
  <c r="N7" i="6"/>
  <c r="O7" i="6" s="1"/>
  <c r="O6" i="6" s="1"/>
  <c r="K7" i="6"/>
  <c r="K6" i="6" s="1"/>
  <c r="G6" i="6"/>
  <c r="O160" i="6" l="1"/>
  <c r="O110" i="6"/>
  <c r="O109" i="6" s="1"/>
  <c r="K120" i="6"/>
  <c r="K109" i="6"/>
  <c r="K146" i="6"/>
  <c r="H109" i="6"/>
  <c r="N64" i="6"/>
  <c r="N120" i="6"/>
  <c r="H120" i="6" s="1"/>
  <c r="O147" i="6"/>
  <c r="O146" i="6" s="1"/>
  <c r="N142" i="6"/>
  <c r="H142" i="6" s="1"/>
  <c r="N164" i="6"/>
  <c r="K64" i="6"/>
  <c r="H64" i="6" s="1"/>
  <c r="N171" i="6"/>
  <c r="N181" i="6"/>
  <c r="O65" i="6"/>
  <c r="O64" i="6" s="1"/>
  <c r="K171" i="6"/>
  <c r="H91" i="6"/>
  <c r="O172" i="6"/>
  <c r="O171" i="6" s="1"/>
  <c r="O183" i="6"/>
  <c r="O181" i="6" s="1"/>
  <c r="N174" i="6"/>
  <c r="K181" i="6"/>
  <c r="O165" i="6"/>
  <c r="O164" i="6" s="1"/>
  <c r="N137" i="6"/>
  <c r="N167" i="6"/>
  <c r="O149" i="6"/>
  <c r="N160" i="6"/>
  <c r="K115" i="6"/>
  <c r="K160" i="6"/>
  <c r="N149" i="6"/>
  <c r="K104" i="6"/>
  <c r="O115" i="6"/>
  <c r="K139" i="6"/>
  <c r="N155" i="6"/>
  <c r="H155" i="6" s="1"/>
  <c r="N169" i="6"/>
  <c r="H169" i="6" s="1"/>
  <c r="G152" i="6"/>
  <c r="G181" i="6"/>
  <c r="N104" i="6"/>
  <c r="G158" i="6"/>
  <c r="K167" i="6"/>
  <c r="O105" i="6"/>
  <c r="O104" i="6" s="1"/>
  <c r="O129" i="6"/>
  <c r="O137" i="6"/>
  <c r="K152" i="6"/>
  <c r="N115" i="6"/>
  <c r="K137" i="6"/>
  <c r="O159" i="6"/>
  <c r="O158" i="6" s="1"/>
  <c r="K88" i="6"/>
  <c r="H88" i="6" s="1"/>
  <c r="K129" i="6"/>
  <c r="O152" i="6"/>
  <c r="O174" i="6"/>
  <c r="O135" i="6"/>
  <c r="O170" i="6"/>
  <c r="O169" i="6" s="1"/>
  <c r="K174" i="6"/>
  <c r="O139" i="6"/>
  <c r="H158" i="6"/>
  <c r="N135" i="6"/>
  <c r="H135" i="6" s="1"/>
  <c r="O145" i="6"/>
  <c r="O142" i="6" s="1"/>
  <c r="H146" i="6"/>
  <c r="H149" i="6"/>
  <c r="O155" i="6"/>
  <c r="H164" i="6"/>
  <c r="G164" i="6"/>
  <c r="N129" i="6"/>
  <c r="N139" i="6"/>
  <c r="N152" i="6"/>
  <c r="O125" i="6"/>
  <c r="O120" i="6" s="1"/>
  <c r="O78" i="6"/>
  <c r="K94" i="6"/>
  <c r="H94" i="6" s="1"/>
  <c r="N98" i="6"/>
  <c r="H98" i="6" s="1"/>
  <c r="O99" i="6"/>
  <c r="N78" i="6"/>
  <c r="H78" i="6" s="1"/>
  <c r="N82" i="6"/>
  <c r="H82" i="6" s="1"/>
  <c r="O97" i="6"/>
  <c r="O94" i="6" s="1"/>
  <c r="K51" i="6"/>
  <c r="O101" i="6"/>
  <c r="N118" i="6"/>
  <c r="H118" i="6" s="1"/>
  <c r="O14" i="6"/>
  <c r="G82" i="6"/>
  <c r="G109" i="6"/>
  <c r="G115" i="6"/>
  <c r="G64" i="6"/>
  <c r="O93" i="6"/>
  <c r="O91" i="6" s="1"/>
  <c r="O103" i="6"/>
  <c r="O102" i="6" s="1"/>
  <c r="G118" i="6"/>
  <c r="O90" i="6"/>
  <c r="O88" i="6" s="1"/>
  <c r="O82" i="6"/>
  <c r="G91" i="6"/>
  <c r="G98" i="6"/>
  <c r="K75" i="6"/>
  <c r="N36" i="6"/>
  <c r="H36" i="6" s="1"/>
  <c r="O52" i="6"/>
  <c r="O51" i="6" s="1"/>
  <c r="G88" i="6"/>
  <c r="G94" i="6"/>
  <c r="G102" i="6"/>
  <c r="G120" i="6"/>
  <c r="G113" i="6"/>
  <c r="N113" i="6"/>
  <c r="H113" i="6" s="1"/>
  <c r="H102" i="6"/>
  <c r="N86" i="6"/>
  <c r="H86" i="6" s="1"/>
  <c r="G86" i="6"/>
  <c r="O45" i="6"/>
  <c r="K42" i="6"/>
  <c r="N45" i="6"/>
  <c r="H45" i="6" s="1"/>
  <c r="G71" i="6"/>
  <c r="O37" i="6"/>
  <c r="O36" i="6" s="1"/>
  <c r="O8" i="6"/>
  <c r="K19" i="6"/>
  <c r="K58" i="6"/>
  <c r="N39" i="6"/>
  <c r="N73" i="6"/>
  <c r="N55" i="6"/>
  <c r="H55" i="6" s="1"/>
  <c r="G39" i="6"/>
  <c r="G23" i="6"/>
  <c r="K61" i="6"/>
  <c r="K27" i="6"/>
  <c r="N14" i="6"/>
  <c r="H14" i="6" s="1"/>
  <c r="N71" i="6"/>
  <c r="K73" i="6"/>
  <c r="H73" i="6" s="1"/>
  <c r="K71" i="6"/>
  <c r="O75" i="6"/>
  <c r="G78" i="6"/>
  <c r="N8" i="6"/>
  <c r="H8" i="6" s="1"/>
  <c r="O42" i="6"/>
  <c r="K39" i="6"/>
  <c r="G27" i="6"/>
  <c r="O58" i="6"/>
  <c r="O28" i="6"/>
  <c r="O27" i="6" s="1"/>
  <c r="N27" i="6"/>
  <c r="O23" i="6"/>
  <c r="O39" i="6"/>
  <c r="O73" i="6"/>
  <c r="O55" i="6"/>
  <c r="O61" i="6"/>
  <c r="O71" i="6"/>
  <c r="N6" i="6"/>
  <c r="H6" i="6" s="1"/>
  <c r="N17" i="6"/>
  <c r="K18" i="6"/>
  <c r="K17" i="6" s="1"/>
  <c r="K49" i="6" s="1"/>
  <c r="N19" i="6"/>
  <c r="N42" i="6"/>
  <c r="N58" i="6"/>
  <c r="G73" i="6"/>
  <c r="N75" i="6"/>
  <c r="G58" i="6"/>
  <c r="G75" i="6"/>
  <c r="N23" i="6"/>
  <c r="H23" i="6" s="1"/>
  <c r="N61" i="6"/>
  <c r="H152" i="6" l="1"/>
  <c r="G191" i="6"/>
  <c r="H51" i="6"/>
  <c r="K127" i="6"/>
  <c r="G127" i="6"/>
  <c r="O191" i="6"/>
  <c r="K191" i="6"/>
  <c r="H115" i="6"/>
  <c r="H171" i="6"/>
  <c r="O49" i="6"/>
  <c r="H75" i="6"/>
  <c r="H181" i="6"/>
  <c r="H104" i="6"/>
  <c r="H137" i="6"/>
  <c r="H160" i="6"/>
  <c r="H139" i="6"/>
  <c r="H174" i="6"/>
  <c r="H167" i="6"/>
  <c r="H129" i="6"/>
  <c r="H19" i="6"/>
  <c r="O98" i="6"/>
  <c r="O127" i="6" s="1"/>
  <c r="H58" i="6"/>
  <c r="H27" i="6"/>
  <c r="H42" i="6"/>
  <c r="H39" i="6"/>
  <c r="G49" i="6"/>
  <c r="H61" i="6"/>
  <c r="H17" i="6"/>
  <c r="H71" i="6"/>
  <c r="G193" i="6" l="1"/>
  <c r="H49" i="6"/>
  <c r="H191" i="6"/>
  <c r="H193" i="6" s="1"/>
  <c r="H127" i="6"/>
</calcChain>
</file>

<file path=xl/sharedStrings.xml><?xml version="1.0" encoding="utf-8"?>
<sst xmlns="http://schemas.openxmlformats.org/spreadsheetml/2006/main" count="778" uniqueCount="341">
  <si>
    <t>Zakres planowanych robót:</t>
  </si>
  <si>
    <t>Jednostaka miary</t>
  </si>
  <si>
    <t>Obmiar</t>
  </si>
  <si>
    <t>Cena jednostkowa</t>
  </si>
  <si>
    <t>Wartość netto</t>
  </si>
  <si>
    <t>Wartość brutto</t>
  </si>
  <si>
    <t>Pomieszczenie</t>
  </si>
  <si>
    <t>szerokosć</t>
  </si>
  <si>
    <t xml:space="preserve">długość </t>
  </si>
  <si>
    <t>wysokość</t>
  </si>
  <si>
    <t>pow. ścian</t>
  </si>
  <si>
    <t>pow. okien</t>
  </si>
  <si>
    <t>pow. drzwi</t>
  </si>
  <si>
    <t>pow. 
podłogi
/sufitu</t>
  </si>
  <si>
    <t>szrokość okna</t>
  </si>
  <si>
    <t>pow. otworów</t>
  </si>
  <si>
    <t>Podsumowanie PARTER:</t>
  </si>
  <si>
    <t>m2</t>
  </si>
  <si>
    <t>kpl</t>
  </si>
  <si>
    <t>mb</t>
  </si>
  <si>
    <t>Podsumowanie PIWNICA:</t>
  </si>
  <si>
    <t>wysokość drzwi</t>
  </si>
  <si>
    <t>szerokość drzwi</t>
  </si>
  <si>
    <t>wysokość okna</t>
  </si>
  <si>
    <t>Poleski Ośrodek Sztuki - ul. Struga 90</t>
  </si>
  <si>
    <t>Podsumowanie I PIĘTRO:</t>
  </si>
  <si>
    <t>-</t>
  </si>
  <si>
    <t>Budnek Widzewskie Domy Kultury "502" ul. Gorkiego 18</t>
  </si>
  <si>
    <t>Budnek Widzewski Dom Kultury WDK ul. Pisłudskiego 133</t>
  </si>
  <si>
    <t>Budnek Poleskiego Ośrodka Sztuki ul. Krzemieniecka 2a</t>
  </si>
  <si>
    <t>Budnek Poleski Ośrodek Sztuki ul. Struga 90</t>
  </si>
  <si>
    <t>Budnek Ośrodek Kultury Górna ul. Siedlecka 1</t>
  </si>
  <si>
    <t>malowanie wewnątrz</t>
  </si>
  <si>
    <t>zasuwy kołnierzowe</t>
  </si>
  <si>
    <t>wykonanie drenażu</t>
  </si>
  <si>
    <t>na podstawie audytu</t>
  </si>
  <si>
    <t>remont schodów (przebudowa – przerobienie stopni, nowa posadzka)</t>
  </si>
  <si>
    <t>remont sanitariatu na parterze – przebudowa ścianek działowych z wymianą ościeżnic i nadproża; demontaż starej glazury i terakoty, montaż nowej; 
wymiana umywalki, muszli klozetowej, armatury, demontaż  i montaż sufitu podwieszanego wraz z oświetleniem</t>
  </si>
  <si>
    <t>montaż sufitu podwieszanego wraz z wykonaniem gładzi gipsowych w sali wykładowej</t>
  </si>
  <si>
    <t>wymiana oświetlenia świetlówkami LED</t>
  </si>
  <si>
    <t>roboty elektryczne polegające na oddzieleniu wiązek przewodów zasilających od przewodów sterowniczych i audio w celu wyeliminowania zakłóceń</t>
  </si>
  <si>
    <t>termomodernizacja elewacji budynku poprzez pokrycie materiałem termoizolacyjnym i materiałem kryjącym</t>
  </si>
  <si>
    <t>zamurowanie i wymiana okien</t>
  </si>
  <si>
    <t>modernizacja elewacji</t>
  </si>
  <si>
    <t>docieplenie stropu wewnętrznego</t>
  </si>
  <si>
    <t>docieplenie ściany w gruncie</t>
  </si>
  <si>
    <t>wymiana pokrycia dachowego</t>
  </si>
  <si>
    <t>stworzenie przestrzeni dla nowej Sali wielofunkcyjnej (wykorzystujac istniejące aktualne dwa pomieszczenia i hol) wykorzystywanej m.in. Do prób zespołów muzycznych, prezentacji spotkań, prób i chóru oraz kamerlnych koncertów</t>
  </si>
  <si>
    <t>elewacja</t>
  </si>
  <si>
    <t>wydzielenie w piwnicy budynku pomieszczeń sanitarnych i szatni</t>
  </si>
  <si>
    <t>modernizacja ciepej wody użytkowej</t>
  </si>
  <si>
    <t>docieplenie dachu</t>
  </si>
  <si>
    <t>modernizacja systemu grzewczego</t>
  </si>
  <si>
    <t>wymiana połaci dachowych</t>
  </si>
  <si>
    <t>docieplenie stropodachu</t>
  </si>
  <si>
    <t>wymiana okien</t>
  </si>
  <si>
    <t>wymiana drzwi wewnętrznych</t>
  </si>
  <si>
    <t>wymiana drzwi wejściowych</t>
  </si>
  <si>
    <t>ogrodzenie terenu i bramy wjazdowe</t>
  </si>
  <si>
    <t>wymiana instalacji elektrycznej + oświetlenie</t>
  </si>
  <si>
    <t xml:space="preserve">instalacja odgromowa </t>
  </si>
  <si>
    <t>wymiana podłóg</t>
  </si>
  <si>
    <t>docieplenie ściany na gruncie</t>
  </si>
  <si>
    <t>modernizacja sysemu grzewczego</t>
  </si>
  <si>
    <t>wydzielenie pomieszczeń na sanitariaty dostosowane do osób niepełnosprawnych na I piętrze</t>
  </si>
  <si>
    <t>docieplenie stropu nad piętrem</t>
  </si>
  <si>
    <t>wymiana drzwi zewnętrznych</t>
  </si>
  <si>
    <t>wykonanie opaski</t>
  </si>
  <si>
    <t>montaż platformy schodowej dla niepełnosprawnych</t>
  </si>
  <si>
    <t>wymiana obudowy połaci dachowej na poddaszu</t>
  </si>
  <si>
    <t>wymiana świetlika dachowego</t>
  </si>
  <si>
    <t>wymiana starych okien</t>
  </si>
  <si>
    <t>wymiana starych drzwi</t>
  </si>
  <si>
    <t>wentylacja mechaniczna z odzyskiem</t>
  </si>
  <si>
    <t>na podstawie audytu
do sprawdzenia</t>
  </si>
  <si>
    <t>Przeszklenie tarasu</t>
  </si>
  <si>
    <t>Budynek główny</t>
  </si>
  <si>
    <t>Demontaż balustardy na tarasie</t>
  </si>
  <si>
    <t>Budynek techniczny</t>
  </si>
  <si>
    <t>Wentylatornia</t>
  </si>
  <si>
    <t>Remont klatki schodowej</t>
  </si>
  <si>
    <t>Nowe drzwi</t>
  </si>
  <si>
    <t>Remont pomieszczenia (ściany, sufit)</t>
  </si>
  <si>
    <t>Remont pomieszczenia (posadzka)</t>
  </si>
  <si>
    <t>szt.</t>
  </si>
  <si>
    <t>Wybicie i wstawienie okien</t>
  </si>
  <si>
    <t>montaż windy dla niepełnopstawnych z adaptacją pomieszczeń i montażem nowych drzwi wejściowych</t>
  </si>
  <si>
    <t>wykonanie łącznika windy z budynkiem głównym na poziomie pietra</t>
  </si>
  <si>
    <t>dostosowanie budynku do potrzeb osób niepełnosprawnych (przebudowa otworów drzwiowych na piętrze)</t>
  </si>
  <si>
    <t>kpl.</t>
  </si>
  <si>
    <t>dostosowanie tolety na piętrze do potrzeb osób niepełnosprawnych</t>
  </si>
  <si>
    <t>remont posadzki na tarasie</t>
  </si>
  <si>
    <t>Elewacja</t>
  </si>
  <si>
    <t>Parter</t>
  </si>
  <si>
    <t>Piętro</t>
  </si>
  <si>
    <t>usunięcie skutków zalań (sala baletowa)</t>
  </si>
  <si>
    <t>Usunięcie skutków zalania w Sali wielofunkcyjnej</t>
  </si>
  <si>
    <t>Przebudowa i remont pomieszczeń garderoby i sanitariatów dla artystów</t>
  </si>
  <si>
    <t>sala baletowa - remont parkietu</t>
  </si>
  <si>
    <t>Dach</t>
  </si>
  <si>
    <t>uzgodnić z konserwatorem</t>
  </si>
  <si>
    <t>Piwnica</t>
  </si>
  <si>
    <t>Remont parkietu (duża sala)</t>
  </si>
  <si>
    <t>remont (ściany + sufit) - duża sala</t>
  </si>
  <si>
    <t>remont (ściany + sufit)</t>
  </si>
  <si>
    <t>Ścianki działowe</t>
  </si>
  <si>
    <t>toalety</t>
  </si>
  <si>
    <t>system wentylacji (modernizacja)</t>
  </si>
  <si>
    <t>posadzki + izolacje</t>
  </si>
  <si>
    <t>posadzki - duża sala + izloacje</t>
  </si>
  <si>
    <t>Posadzki - pozostałe pomieszczenia</t>
  </si>
  <si>
    <t>Pozostałe ściany i sufity do remontu</t>
  </si>
  <si>
    <t>Wymiana stolarki drzwiowej (wewnętrznej)</t>
  </si>
  <si>
    <t>Drzwi wewnętrzne istniejace (renowacja dwustronna + ościerznice)</t>
  </si>
  <si>
    <t>Remont parkietu - pomieszczenie po prawej stronie</t>
  </si>
  <si>
    <t>Klatka schodowa - malowanie</t>
  </si>
  <si>
    <t>Pietro</t>
  </si>
  <si>
    <t>Malowanie balustrady</t>
  </si>
  <si>
    <t>Demontaże ścianek działowych</t>
  </si>
  <si>
    <t>Malowanie pomieszczeń</t>
  </si>
  <si>
    <t>Posadzki</t>
  </si>
  <si>
    <t>Malowanie ścian i sufitów</t>
  </si>
  <si>
    <t>Wyciszenie Sali (sufit, ściany, podłoga)</t>
  </si>
  <si>
    <t>Poddasze</t>
  </si>
  <si>
    <t>pozostałe okna (renowacja + wymiana pakietów szybowych)</t>
  </si>
  <si>
    <t>kraty w oknach (w tym balkonowe)</t>
  </si>
  <si>
    <t>?</t>
  </si>
  <si>
    <t>obróbki blacharskie</t>
  </si>
  <si>
    <t>odtworzenie odgromówki + obróbki blacharskie</t>
  </si>
  <si>
    <t>Wymiana drzwi na taras</t>
  </si>
  <si>
    <t>Naprawa murków wokół budynku</t>
  </si>
  <si>
    <t>Modernizacja podjazdu dla niepełnosprawnych (w tym wymiana czap)</t>
  </si>
  <si>
    <t>Piwnice</t>
  </si>
  <si>
    <t>Piętro II</t>
  </si>
  <si>
    <t>Remont drzwi zabytkowych</t>
  </si>
  <si>
    <t>Remont schodów zewnętrznych</t>
  </si>
  <si>
    <t>Wykonanie opaski wokół budynku</t>
  </si>
  <si>
    <t>Przebudowa schodów do piwnicy</t>
  </si>
  <si>
    <t>Montaż platformy dla niepełnosprawnych</t>
  </si>
  <si>
    <t>szt</t>
  </si>
  <si>
    <t>Malowanie rolet drewnianych</t>
  </si>
  <si>
    <t>Demontaż lamp na elewacji i montaż nowych stylizowanych</t>
  </si>
  <si>
    <t>Remont sanitariatów</t>
  </si>
  <si>
    <t>Wymiana parkietów</t>
  </si>
  <si>
    <t>remont tarasu i schodów do ogrodu i murkiem</t>
  </si>
  <si>
    <t>iniekcja pionowa</t>
  </si>
  <si>
    <t>tynki renowacyjne</t>
  </si>
  <si>
    <t>zaizolowanie posadzki</t>
  </si>
  <si>
    <t>nowe posadzki ( sala ceramiki)</t>
  </si>
  <si>
    <t>Zmiana aranżacji pomieszczeń (demontaż i montaż ścianek, nowe drzwi, przebicia i zamurowania otworów)</t>
  </si>
  <si>
    <t>wykonanie instalacji pod piec ceramiczny</t>
  </si>
  <si>
    <t>Nowe wyjście z budynku</t>
  </si>
  <si>
    <t>wymiana lukarn</t>
  </si>
  <si>
    <t>instalacja odgromowa</t>
  </si>
  <si>
    <t>sygnalizacja alarmowa</t>
  </si>
  <si>
    <t>wymiana starego pokrycia z blachy, na pokrycie z blachy tytanow - cynkowej</t>
  </si>
  <si>
    <t>impregnacja i malowanie wymienionej podbitki dachu</t>
  </si>
  <si>
    <t>instalacja odgromowa demontaż i ponowny montaż wraz z uzupełnieniem</t>
  </si>
  <si>
    <t>drzwi zewnętrzne do piwnicy</t>
  </si>
  <si>
    <t xml:space="preserve">przebudowa wejścia głównego i schodów od strony wschodniej (wykucie otworu, dostawa nowych stylizowanych drzwi, wykonanie schodów i balustrad) </t>
  </si>
  <si>
    <t>rozebranie schodów od strony wschodniej</t>
  </si>
  <si>
    <t>Uwagi</t>
  </si>
  <si>
    <t>wymiana stolarki otworowej - nowe okna na podaszu wzorowane na zabytkowe</t>
  </si>
  <si>
    <t>stolarka otworowa - wymiana wewnetrznych skrzydeł</t>
  </si>
  <si>
    <t>zachodnia strona budynku, przy wyjściu ewakuacyjnym z piwnicy - skucie zawilgoconych tynków i wykonanie izolacji pionowych i poziomych ścian, wysusznie, odtworzenie tynków, pomalowanie i wykonanie nowej stylizowanej balustrady</t>
  </si>
  <si>
    <t>remont kosza okiennego od strony południowej</t>
  </si>
  <si>
    <t>odtworzenie instalacji odgromowej na obiekcie</t>
  </si>
  <si>
    <t>pozostałe prace na elewacji (demontaże i montaze nowych lamp, skrzynek, itp.)</t>
  </si>
  <si>
    <t>okna do renowacji</t>
  </si>
  <si>
    <t>remont balkonu, wykonanie nowej balustrady i odtworzenie wazonu</t>
  </si>
  <si>
    <t>drzwi zewnętrzne - wejściowe do renowacji</t>
  </si>
  <si>
    <t>dostosowanie parteru budynku do potrzeb osób niepełnosprawnych - wydzielenie z pomieszczenia kotłowni i gospodarczego nowej kotłowni i sanitariatu dostosowanego dla osób niepełnosprawnych</t>
  </si>
  <si>
    <t>modernizacja systemu grzewczego (wymiana pieca)</t>
  </si>
  <si>
    <t>drugie drzwi wejściowe</t>
  </si>
  <si>
    <t>Przebudowa toalety i kasy - stworzenie dwóch sanitariatów</t>
  </si>
  <si>
    <t>Pozostałe prace</t>
  </si>
  <si>
    <t>Przebudowa nowych ścianek działowych</t>
  </si>
  <si>
    <t>Ściany przy wejściu (w płytkach) + schody</t>
  </si>
  <si>
    <t>opaska wokół budynku</t>
  </si>
  <si>
    <t>Domofon</t>
  </si>
  <si>
    <t>zaizolowanie ścian fundamentowych</t>
  </si>
  <si>
    <t>wykonanie płotków przeciwśniegowych</t>
  </si>
  <si>
    <t>Oświetlenie</t>
  </si>
  <si>
    <t>wymiana starych posadzek i montaż nowych wraz z izolacją poziomą</t>
  </si>
  <si>
    <t>wykonanie izolacji przeciwwodnej i przeciwwilgociowej pionowej ścian</t>
  </si>
  <si>
    <t>Skrzynka Gazowa - wymiana drzwiczek</t>
  </si>
  <si>
    <t>wykonanie iniekcji poziomej w wykopie</t>
  </si>
  <si>
    <t>wykonanie iniekcji poziomej w piwnicy - od strony tarasu i na ścianch wewnętrznych</t>
  </si>
  <si>
    <t>wykonanie iniekcji pionowej od strony tarasu</t>
  </si>
  <si>
    <t>tynki renowacyjne w piwnicy (w części użytkowej)</t>
  </si>
  <si>
    <t>przebudowa schodów (usunięcie ścianki, przebudowa stopni, nowa balustarda)</t>
  </si>
  <si>
    <t>platforma schodowa dla transportu osób niepenosprawnych</t>
  </si>
  <si>
    <t>remont drzwi na klatce schodowej</t>
  </si>
  <si>
    <t>ściana działowa pomiedzy pomieszczeniami</t>
  </si>
  <si>
    <t>remont posadzki na półpietrze</t>
  </si>
  <si>
    <t>Wykonanie izolacji pionowej przeciwwodnej i przeciwwilgociowej wokół adaptowanego pomieszczenia</t>
  </si>
  <si>
    <t>remont pozostałych powierzchni (nowe okładziny ścian i sufitów)</t>
  </si>
  <si>
    <t>rozbudowa instalacji elektrycznej</t>
  </si>
  <si>
    <t>system wentylacji</t>
  </si>
  <si>
    <t>SAP</t>
  </si>
  <si>
    <t>Remont zabytkowych drzwi do Sali</t>
  </si>
  <si>
    <t>Wymiana drzwi zewnętrznych (bocznych)</t>
  </si>
  <si>
    <t>Wymiana drzwi na scenę i do pokoju instruktorów na dostosowane do zabytkowego wyglądu pomieszczeń</t>
  </si>
  <si>
    <t>montaż domofonu</t>
  </si>
  <si>
    <t>system SAP</t>
  </si>
  <si>
    <t>remont holu - gładzie, malowanie</t>
  </si>
  <si>
    <t>rozbudowa instalacji elektrycznej + oświetlenie ekspozycji</t>
  </si>
  <si>
    <t>remont holu i sal - gładzie, malowanie</t>
  </si>
  <si>
    <t>monitoring</t>
  </si>
  <si>
    <t>instalacja odgromowa - demontaż i montaż</t>
  </si>
  <si>
    <t>iniekcja pozioma</t>
  </si>
  <si>
    <t>wymiana pokrycia murów ogniowych, pasów pod i nadrynnowych, wyskoków i pasów elewacji, gzymsów i krawędzi balkonowych z blachy tytanowo - cynkowej</t>
  </si>
  <si>
    <t>schody drewniane na piętro - remont</t>
  </si>
  <si>
    <t>Wykonanie opaski</t>
  </si>
  <si>
    <t>podnośnik dla niepełnosprawnych</t>
  </si>
  <si>
    <t>Wyposażenie</t>
  </si>
  <si>
    <t>kotara</t>
  </si>
  <si>
    <t>lustra</t>
  </si>
  <si>
    <t>urzadzenie wielofunkcyjne</t>
  </si>
  <si>
    <t>wiatraki na dużej Sali</t>
  </si>
  <si>
    <t>taras + schody zewnetrzne wraz z pochylnią dla osob niepełnosprawnych</t>
  </si>
  <si>
    <t xml:space="preserve">remont sali widowiskowej </t>
  </si>
  <si>
    <t>wykonanie nowego parkietu w Sali wielowidowiskowej</t>
  </si>
  <si>
    <t xml:space="preserve">toalety </t>
  </si>
  <si>
    <t>zamknięcie klatki schodowej przy scenie + przebudowa schodów</t>
  </si>
  <si>
    <t>adaptacja pomieszczeń na szatnię, kasę i bufet teatralny, toaletę dla niepełnosprawnych wraz z wydzieleniem przestrzeni wystawienniczej w foyer</t>
  </si>
  <si>
    <t>wymiana instalacji wod - kan</t>
  </si>
  <si>
    <t>remont posadzki sceny</t>
  </si>
  <si>
    <t>Rezerwa</t>
  </si>
  <si>
    <t>pianino cyfrowe: (Roland DP603-PE)</t>
  </si>
  <si>
    <t>stoliki klubowe (70x70cm) - 5 szt.</t>
  </si>
  <si>
    <t>krzesła tapicerowane do składowania pionowego - 50 szt.</t>
  </si>
  <si>
    <t>Wyposażenie obiektu</t>
  </si>
  <si>
    <t>Aparatura nagłaśniająca w tym:</t>
  </si>
  <si>
    <t>monitory głośnikowe,</t>
  </si>
  <si>
    <t xml:space="preserve">MacBook z oprogramowaniem audio </t>
  </si>
  <si>
    <t>okablowanie dźwiękowe.</t>
  </si>
  <si>
    <t>Wyposażenie sceniczne i oświetleniowe w technologii LED w tym:</t>
  </si>
  <si>
    <t>reflektory teatralne LED,</t>
  </si>
  <si>
    <t>inteligentne głowice oświetleniowe,</t>
  </si>
  <si>
    <t>naświetlacze,</t>
  </si>
  <si>
    <t>follow spoty,</t>
  </si>
  <si>
    <t>Zakup nowego sprzętu do Galerii „Na tarasie”:</t>
  </si>
  <si>
    <t xml:space="preserve">system wystawienniczy wraz z oświetleniem: ramy (antyramy) – 20 szt, stelarze malarskie – 10 szt, </t>
  </si>
  <si>
    <t>meble ogrodowe – stoliki 5 szt. krzesła 20 szt.</t>
  </si>
  <si>
    <t xml:space="preserve">lampki tarasowe, zieleń w donicach – po 5 szt. </t>
  </si>
  <si>
    <t>Zakup nowego sprzętu do sali baletowej:</t>
  </si>
  <si>
    <t>sprzęt audio i nagłośnienie: samodzielny aktywny zestaw nagłośnieniowy np. JBL EON One, odtwarzacz plików multimedialnych.</t>
  </si>
  <si>
    <t>Pracownia komputerowo - graficzna</t>
  </si>
  <si>
    <t>ekran rozwijalny, 2400x2400mm</t>
  </si>
  <si>
    <t xml:space="preserve">laptop - Intel® Core™ i7, RAM 16 GB, SSHD 1TB, NVIDIA GeForce GTX 980M </t>
  </si>
  <si>
    <t>Stanowiska komputerowe - 7 szt.</t>
  </si>
  <si>
    <t xml:space="preserve">projektor </t>
  </si>
  <si>
    <t xml:space="preserve">ekran </t>
  </si>
  <si>
    <t xml:space="preserve">mobilny zestaw nagłośnieniowy </t>
  </si>
  <si>
    <t>leżaki 100 szt</t>
  </si>
  <si>
    <t>Pracownia ceramiczna:</t>
  </si>
  <si>
    <t xml:space="preserve">piec ceramiczny </t>
  </si>
  <si>
    <t>koło garncarskie nożne 6 szt.</t>
  </si>
  <si>
    <t>reflektorów Fresnel 300/500</t>
  </si>
  <si>
    <t>hak do reflektora</t>
  </si>
  <si>
    <t>konstrukcja 3 rurowa wraz z mocowaniem</t>
  </si>
  <si>
    <t>dimmer 12 kanałowy DMX</t>
  </si>
  <si>
    <t>sterownik DMX</t>
  </si>
  <si>
    <t>przewód elektryczny wielokanałowy</t>
  </si>
  <si>
    <t xml:space="preserve">podłoga baletowa 3 rolki </t>
  </si>
  <si>
    <t>stół do prac plastycznych</t>
  </si>
  <si>
    <t>krzesła składane</t>
  </si>
  <si>
    <t xml:space="preserve">reflektor Eurolight Spot  </t>
  </si>
  <si>
    <t>Sala wystawienniczo - warsztatowa</t>
  </si>
  <si>
    <t>Sala studyjna</t>
  </si>
  <si>
    <t>projektor</t>
  </si>
  <si>
    <t>sprzet nagłasniający mobilny</t>
  </si>
  <si>
    <t>mobilna widownia na 30 osób</t>
  </si>
  <si>
    <t>zewnetrzna żaluzja</t>
  </si>
  <si>
    <t>Scena kameralna (na rampie)</t>
  </si>
  <si>
    <t>Garderoby oraz pokoje gościnne</t>
  </si>
  <si>
    <t>łóżka, szafki, dwa lustra z oświetleniem</t>
  </si>
  <si>
    <t>pralka</t>
  </si>
  <si>
    <t>instalacja c.o.</t>
  </si>
  <si>
    <t>likwidacja okien</t>
  </si>
  <si>
    <t>likwidacja drzwi</t>
  </si>
  <si>
    <t>rzutnik - 3D i 2D Full HD z technologią 3LCD,, 2200 lumenów</t>
  </si>
  <si>
    <t>wentylatornia nie będzie remontowana</t>
  </si>
  <si>
    <t>ekran cieniowy oraz ekran do projekcji</t>
  </si>
  <si>
    <t xml:space="preserve">1 laptop                                                                                                                                             </t>
  </si>
  <si>
    <t>SALA AUDYTORYJNA</t>
  </si>
  <si>
    <t>liniowy system głośnikowy 2x1000W</t>
  </si>
  <si>
    <t>cyfrowa konsoleta mikserska 32 kanały,</t>
  </si>
  <si>
    <t>mikrofony przewodowe – 10 szt.</t>
  </si>
  <si>
    <t>mikrofony  bezprzewodowe – 4 szt.</t>
  </si>
  <si>
    <t>oprogramowanie typu MediaMaster</t>
  </si>
  <si>
    <t xml:space="preserve">komputer stacjonarny  Core™ i7-6600 (6M Cache, 3.30 / 3.90 GHz) 8 GB RAM, SSHD 1TB, Bluetooth, LAN (RJ-45), WiFi, D-Sub / VGA HDMI,  Intel® HD Graphics 530,  klawiatura, mysz.  WINDOWS 10, OFFICE, ADOBE                                                     </t>
  </si>
  <si>
    <t>Przenośne nagłośnienie, zestaw PA –  2x 615 + 2x 618S AKTYWNY ZESTAW KOLUMN      - Typ systemu: 15" z własnym zasilaniem, dwu-drożny, bass-reflex
- Max. ciśnienie akustyczne: 127 dB
- Zakres częstotliwości (-10 dB): 46,8 Hz - 20 kHz
- Zakres pasma (± 3 dB): 50,8 Hz - 20 kHz
- Moc: 1000 W (2 x 500W)
- Subwoofer aktywny 18"
-Maksymalny SPL wyjściowy - 134 dB
-Zakres częstotliwości (-10 dB) - 31 Hz - 150 Hz
-Moc systemu  - 1.000W szczytowa, 500W ciągła</t>
  </si>
  <si>
    <t>konstrukcje wsporcze sceniczno-estradowe (kratownice, sztankiety kurtyna kulisy itp.) - uzupełnienie istniejących</t>
  </si>
  <si>
    <t>okablowanie prądowe i sterujące systemu oświetleniowego i scenicznego - uzupełnienie istniejących</t>
  </si>
  <si>
    <r>
      <t>serwer</t>
    </r>
    <r>
      <rPr>
        <b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DELL R710 SixCore E5649/32GB RAM Perc 6i 2U + Windows Server 2012 R2</t>
    </r>
  </si>
  <si>
    <r>
      <t>lustra – 48 m</t>
    </r>
    <r>
      <rPr>
        <vertAlign val="superscript"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>, poręcze baletowe – 36 mb,</t>
    </r>
  </si>
  <si>
    <r>
      <t>rolety okienne 24 m</t>
    </r>
    <r>
      <rPr>
        <vertAlign val="superscript"/>
        <sz val="11"/>
        <rFont val="Calibri"/>
        <family val="2"/>
        <charset val="238"/>
      </rPr>
      <t>2</t>
    </r>
  </si>
  <si>
    <t>nagłośnienie: konsoleta cyfrowa 24 kanały, zestaw głośnikowy aktywny (1000W, 129dB SPL, 15”subwoofer, 2 x 10” +1” satelity, zintegrowany wzmacniacz) mikrofony przewodowe 5 szt,  bezprzewodowe – 5 szt.</t>
  </si>
  <si>
    <t>I</t>
  </si>
  <si>
    <t>II</t>
  </si>
  <si>
    <t>III</t>
  </si>
  <si>
    <t>IV</t>
  </si>
  <si>
    <t>L.p.</t>
  </si>
  <si>
    <t>Pozycje kosztów</t>
  </si>
  <si>
    <t>Jednostka odniesienia</t>
  </si>
  <si>
    <t>Ilość jednostek odniesienia</t>
  </si>
  <si>
    <t>Cena jednostkowa w zł</t>
  </si>
  <si>
    <t>Wartość w zł</t>
  </si>
  <si>
    <t>bez podatku VAT</t>
  </si>
  <si>
    <t>z podatkiem VAT</t>
  </si>
  <si>
    <t>suma kosztów grupy 1</t>
  </si>
  <si>
    <t>suma kosztów grupy 3</t>
  </si>
  <si>
    <t>suma kosztów grupy 4</t>
  </si>
  <si>
    <t>V</t>
  </si>
  <si>
    <t>suma kosztów grupy 5</t>
  </si>
  <si>
    <t xml:space="preserve">Nadzór inwestorski wielobranżowy + nadzór autorski </t>
  </si>
  <si>
    <t>X</t>
  </si>
  <si>
    <t>powierzchnia - kostka betonowa</t>
  </si>
  <si>
    <t>parkingi-ekokrata</t>
  </si>
  <si>
    <t>korytowanie i utwardzenie terenu</t>
  </si>
  <si>
    <t>rozbiórka i montaż ogrodzenia</t>
  </si>
  <si>
    <t>bramy</t>
  </si>
  <si>
    <t>Podłaczenie budynku WC do sieci wod kan i elektrycznej</t>
  </si>
  <si>
    <t>Budowa budynku WC</t>
  </si>
  <si>
    <t>Budowa wiat handlowych</t>
  </si>
  <si>
    <t>odwodnienie liniowe</t>
  </si>
  <si>
    <t>przepusty</t>
  </si>
  <si>
    <t>Oświetlenie zewnetrzne - lampy</t>
  </si>
  <si>
    <t>Instalacja fotowoltaiczna</t>
  </si>
  <si>
    <t>Instalacje w budynku WC - wod, kan, ogrzewanie, elektryczna,  odgromowa</t>
  </si>
  <si>
    <t>Opracowanie dokumentacji technicznej</t>
  </si>
  <si>
    <t>GRUPA KOSZTÓW 1 -przygotowanie terenu i przyłączenie obiektów do sieci</t>
  </si>
  <si>
    <t>GRUPA KOSZTÓW 2 -budowa obiektów podstawowych</t>
  </si>
  <si>
    <t>GRUPA KOSZTÓW 3 - Instalacje</t>
  </si>
  <si>
    <t>GRUPA KOSZTÓW 4 - Zagospodarowanie terenu i obiekty pomocnicze</t>
  </si>
  <si>
    <t>GRUPA KOSZTÓW 6 -Prace przygotowawcze, projektowe,obsługa inwetorska</t>
  </si>
  <si>
    <t>Razem - suma kosztów grupy 1+2+3+4+5+6</t>
  </si>
  <si>
    <t>nakładka asfaltowa - koszt niekwalifikowalny</t>
  </si>
  <si>
    <t>Zestawienie kosztów inwestycji pn.: "Przebudowa targowiska gminnego przy ul. Koneckiej w Żarnowie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</si>
</sst>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\ _z_ł_-;\-* #,##0.0\ _z_ł_-;_-* &quot;-&quot;??\ _z_ł_-;_-@_-"/>
    <numFmt numFmtId="166" formatCode="#,##0.00\ &quot;zł&quot;"/>
    <numFmt numFmtId="167" formatCode="#,##0.00&quot; zł&quot;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vertAlign val="superscript"/>
      <sz val="11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auto="1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</cellStyleXfs>
  <cellXfs count="427">
    <xf numFmtId="0" fontId="0" fillId="0" borderId="0" xfId="0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3" fontId="4" fillId="0" borderId="1" xfId="1" applyFont="1" applyBorder="1"/>
    <xf numFmtId="43" fontId="3" fillId="3" borderId="1" xfId="1" applyFont="1" applyFill="1" applyBorder="1"/>
    <xf numFmtId="43" fontId="3" fillId="4" borderId="1" xfId="1" applyFont="1" applyFill="1" applyBorder="1"/>
    <xf numFmtId="43" fontId="4" fillId="0" borderId="1" xfId="1" applyFont="1" applyFill="1" applyBorder="1"/>
    <xf numFmtId="0" fontId="0" fillId="0" borderId="0" xfId="0" applyAlignment="1">
      <alignment horizontal="left"/>
    </xf>
    <xf numFmtId="43" fontId="2" fillId="0" borderId="0" xfId="0" applyNumberFormat="1" applyFont="1"/>
    <xf numFmtId="164" fontId="3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43" fontId="0" fillId="0" borderId="0" xfId="1" applyFont="1"/>
    <xf numFmtId="43" fontId="2" fillId="0" borderId="0" xfId="1" applyFont="1"/>
    <xf numFmtId="43" fontId="4" fillId="0" borderId="2" xfId="1" applyFont="1" applyBorder="1"/>
    <xf numFmtId="43" fontId="3" fillId="3" borderId="2" xfId="1" applyFont="1" applyFill="1" applyBorder="1"/>
    <xf numFmtId="43" fontId="3" fillId="4" borderId="2" xfId="1" applyFont="1" applyFill="1" applyBorder="1"/>
    <xf numFmtId="0" fontId="6" fillId="0" borderId="2" xfId="0" applyFont="1" applyBorder="1" applyAlignment="1">
      <alignment horizontal="center" vertical="center" wrapText="1"/>
    </xf>
    <xf numFmtId="43" fontId="4" fillId="0" borderId="3" xfId="1" applyFont="1" applyBorder="1"/>
    <xf numFmtId="43" fontId="3" fillId="3" borderId="3" xfId="1" applyFont="1" applyFill="1" applyBorder="1"/>
    <xf numFmtId="43" fontId="3" fillId="4" borderId="3" xfId="1" applyFont="1" applyFill="1" applyBorder="1"/>
    <xf numFmtId="43" fontId="4" fillId="0" borderId="3" xfId="1" applyFont="1" applyFill="1" applyBorder="1"/>
    <xf numFmtId="43" fontId="4" fillId="0" borderId="6" xfId="1" applyFont="1" applyBorder="1"/>
    <xf numFmtId="43" fontId="3" fillId="3" borderId="6" xfId="1" applyFont="1" applyFill="1" applyBorder="1"/>
    <xf numFmtId="43" fontId="3" fillId="4" borderId="6" xfId="1" applyFont="1" applyFill="1" applyBorder="1"/>
    <xf numFmtId="43" fontId="4" fillId="2" borderId="6" xfId="1" applyFont="1" applyFill="1" applyBorder="1"/>
    <xf numFmtId="43" fontId="4" fillId="4" borderId="6" xfId="1" applyFont="1" applyFill="1" applyBorder="1"/>
    <xf numFmtId="43" fontId="4" fillId="0" borderId="6" xfId="1" applyFont="1" applyFill="1" applyBorder="1"/>
    <xf numFmtId="43" fontId="4" fillId="4" borderId="7" xfId="1" applyFont="1" applyFill="1" applyBorder="1"/>
    <xf numFmtId="43" fontId="4" fillId="0" borderId="9" xfId="1" applyFont="1" applyBorder="1"/>
    <xf numFmtId="43" fontId="3" fillId="3" borderId="9" xfId="1" applyFont="1" applyFill="1" applyBorder="1"/>
    <xf numFmtId="43" fontId="3" fillId="4" borderId="9" xfId="1" applyFont="1" applyFill="1" applyBorder="1"/>
    <xf numFmtId="43" fontId="4" fillId="0" borderId="9" xfId="1" applyFont="1" applyFill="1" applyBorder="1"/>
    <xf numFmtId="43" fontId="4" fillId="0" borderId="10" xfId="1" applyFont="1" applyBorder="1"/>
    <xf numFmtId="43" fontId="4" fillId="0" borderId="12" xfId="1" applyFont="1" applyBorder="1"/>
    <xf numFmtId="43" fontId="4" fillId="0" borderId="2" xfId="1" applyFont="1" applyFill="1" applyBorder="1"/>
    <xf numFmtId="43" fontId="4" fillId="0" borderId="13" xfId="1" applyFont="1" applyBorder="1"/>
    <xf numFmtId="43" fontId="4" fillId="0" borderId="4" xfId="1" applyFont="1" applyBorder="1"/>
    <xf numFmtId="43" fontId="3" fillId="3" borderId="4" xfId="1" applyFont="1" applyFill="1" applyBorder="1"/>
    <xf numFmtId="43" fontId="3" fillId="4" borderId="4" xfId="1" applyFont="1" applyFill="1" applyBorder="1"/>
    <xf numFmtId="43" fontId="4" fillId="0" borderId="4" xfId="1" applyFont="1" applyFill="1" applyBorder="1"/>
    <xf numFmtId="43" fontId="4" fillId="4" borderId="15" xfId="1" applyFont="1" applyFill="1" applyBorder="1"/>
    <xf numFmtId="43" fontId="4" fillId="0" borderId="14" xfId="1" applyFont="1" applyFill="1" applyBorder="1"/>
    <xf numFmtId="43" fontId="4" fillId="0" borderId="0" xfId="1" applyFont="1" applyFill="1" applyBorder="1"/>
    <xf numFmtId="43" fontId="3" fillId="0" borderId="0" xfId="1" applyFont="1" applyFill="1" applyBorder="1"/>
    <xf numFmtId="0" fontId="0" fillId="0" borderId="0" xfId="0" applyFill="1"/>
    <xf numFmtId="0" fontId="4" fillId="0" borderId="0" xfId="0" applyFont="1" applyFill="1" applyBorder="1" applyAlignment="1">
      <alignment horizontal="center" vertical="center" wrapText="1"/>
    </xf>
    <xf numFmtId="43" fontId="4" fillId="0" borderId="12" xfId="1" applyFont="1" applyFill="1" applyBorder="1"/>
    <xf numFmtId="43" fontId="4" fillId="0" borderId="19" xfId="1" applyFont="1" applyFill="1" applyBorder="1"/>
    <xf numFmtId="43" fontId="4" fillId="0" borderId="7" xfId="1" applyFont="1" applyFill="1" applyBorder="1"/>
    <xf numFmtId="43" fontId="4" fillId="0" borderId="10" xfId="1" applyFont="1" applyFill="1" applyBorder="1"/>
    <xf numFmtId="43" fontId="4" fillId="0" borderId="21" xfId="1" applyFont="1" applyFill="1" applyBorder="1"/>
    <xf numFmtId="43" fontId="3" fillId="5" borderId="3" xfId="1" applyFont="1" applyFill="1" applyBorder="1"/>
    <xf numFmtId="43" fontId="3" fillId="5" borderId="4" xfId="1" applyFont="1" applyFill="1" applyBorder="1"/>
    <xf numFmtId="43" fontId="3" fillId="5" borderId="9" xfId="1" applyFont="1" applyFill="1" applyBorder="1"/>
    <xf numFmtId="43" fontId="3" fillId="5" borderId="6" xfId="1" applyFont="1" applyFill="1" applyBorder="1"/>
    <xf numFmtId="43" fontId="4" fillId="5" borderId="6" xfId="1" applyFont="1" applyFill="1" applyBorder="1"/>
    <xf numFmtId="43" fontId="4" fillId="5" borderId="7" xfId="1" applyFont="1" applyFill="1" applyBorder="1"/>
    <xf numFmtId="43" fontId="4" fillId="0" borderId="22" xfId="1" applyFont="1" applyFill="1" applyBorder="1"/>
    <xf numFmtId="0" fontId="4" fillId="0" borderId="16" xfId="0" applyFont="1" applyFill="1" applyBorder="1" applyAlignment="1">
      <alignment horizontal="center" vertical="center" wrapText="1"/>
    </xf>
    <xf numFmtId="43" fontId="4" fillId="4" borderId="6" xfId="1" applyFont="1" applyFill="1" applyBorder="1" applyAlignment="1">
      <alignment horizontal="center"/>
    </xf>
    <xf numFmtId="43" fontId="4" fillId="4" borderId="7" xfId="1" applyFont="1" applyFill="1" applyBorder="1" applyAlignment="1">
      <alignment horizontal="center"/>
    </xf>
    <xf numFmtId="43" fontId="3" fillId="3" borderId="21" xfId="1" applyFont="1" applyFill="1" applyBorder="1"/>
    <xf numFmtId="43" fontId="3" fillId="4" borderId="21" xfId="1" applyFont="1" applyFill="1" applyBorder="1"/>
    <xf numFmtId="0" fontId="3" fillId="0" borderId="0" xfId="0" quotePrefix="1" applyFont="1" applyAlignment="1">
      <alignment horizontal="left" vertical="center" wrapText="1"/>
    </xf>
    <xf numFmtId="0" fontId="4" fillId="0" borderId="0" xfId="0" quotePrefix="1" applyFont="1" applyAlignment="1">
      <alignment wrapText="1"/>
    </xf>
    <xf numFmtId="0" fontId="4" fillId="0" borderId="0" xfId="0" applyFont="1"/>
    <xf numFmtId="0" fontId="0" fillId="0" borderId="0" xfId="0"/>
    <xf numFmtId="0" fontId="4" fillId="0" borderId="0" xfId="0" quotePrefix="1" applyFont="1" applyAlignment="1">
      <alignment horizontal="center" wrapText="1"/>
    </xf>
    <xf numFmtId="0" fontId="0" fillId="0" borderId="0" xfId="0" applyAlignment="1">
      <alignment horizontal="right" vertical="top"/>
    </xf>
    <xf numFmtId="0" fontId="0" fillId="0" borderId="0" xfId="0" applyFont="1"/>
    <xf numFmtId="0" fontId="0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3" fillId="0" borderId="0" xfId="0" applyFont="1" applyAlignment="1">
      <alignment horizontal="right" vertical="top" wrapText="1"/>
    </xf>
    <xf numFmtId="164" fontId="0" fillId="0" borderId="0" xfId="0" applyNumberFormat="1" applyFont="1"/>
    <xf numFmtId="0" fontId="0" fillId="0" borderId="0" xfId="0" applyFont="1" applyAlignment="1">
      <alignment horizontal="center"/>
    </xf>
    <xf numFmtId="0" fontId="4" fillId="0" borderId="0" xfId="0" quotePrefix="1" applyFont="1" applyFill="1" applyAlignment="1">
      <alignment horizontal="center" wrapText="1"/>
    </xf>
    <xf numFmtId="0" fontId="4" fillId="0" borderId="0" xfId="0" applyFont="1" applyFill="1"/>
    <xf numFmtId="44" fontId="3" fillId="6" borderId="24" xfId="2" applyFont="1" applyFill="1" applyBorder="1" applyAlignment="1">
      <alignment vertical="center"/>
    </xf>
    <xf numFmtId="44" fontId="2" fillId="6" borderId="23" xfId="0" applyNumberFormat="1" applyFont="1" applyFill="1" applyBorder="1"/>
    <xf numFmtId="0" fontId="2" fillId="0" borderId="0" xfId="0" applyFont="1"/>
    <xf numFmtId="44" fontId="0" fillId="0" borderId="0" xfId="0" applyNumberFormat="1"/>
    <xf numFmtId="0" fontId="3" fillId="0" borderId="26" xfId="0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164" fontId="0" fillId="0" borderId="1" xfId="0" applyNumberFormat="1" applyBorder="1"/>
    <xf numFmtId="164" fontId="2" fillId="0" borderId="1" xfId="0" applyNumberFormat="1" applyFont="1" applyBorder="1"/>
    <xf numFmtId="0" fontId="4" fillId="0" borderId="0" xfId="0" applyFont="1" applyFill="1" applyBorder="1" applyAlignment="1">
      <alignment horizontal="left" vertical="top" wrapText="1"/>
    </xf>
    <xf numFmtId="2" fontId="0" fillId="0" borderId="0" xfId="0" applyNumberFormat="1"/>
    <xf numFmtId="2" fontId="4" fillId="0" borderId="0" xfId="0" applyNumberFormat="1" applyFont="1"/>
    <xf numFmtId="0" fontId="3" fillId="0" borderId="29" xfId="0" applyFont="1" applyBorder="1" applyAlignment="1">
      <alignment horizontal="center" vertical="center" wrapText="1"/>
    </xf>
    <xf numFmtId="2" fontId="3" fillId="0" borderId="29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43" fontId="0" fillId="0" borderId="0" xfId="0" applyNumberFormat="1"/>
    <xf numFmtId="0" fontId="0" fillId="4" borderId="0" xfId="0" applyFill="1"/>
    <xf numFmtId="164" fontId="0" fillId="4" borderId="0" xfId="0" applyNumberFormat="1" applyFill="1"/>
    <xf numFmtId="0" fontId="2" fillId="4" borderId="0" xfId="0" applyFont="1" applyFill="1"/>
    <xf numFmtId="164" fontId="2" fillId="4" borderId="0" xfId="0" applyNumberFormat="1" applyFont="1" applyFill="1"/>
    <xf numFmtId="0" fontId="0" fillId="4" borderId="0" xfId="0" applyFill="1" applyAlignment="1">
      <alignment horizontal="center"/>
    </xf>
    <xf numFmtId="0" fontId="3" fillId="4" borderId="0" xfId="0" applyFont="1" applyFill="1" applyBorder="1" applyAlignment="1">
      <alignment horizontal="left" vertical="top" wrapText="1"/>
    </xf>
    <xf numFmtId="2" fontId="2" fillId="4" borderId="0" xfId="0" applyNumberFormat="1" applyFont="1" applyFill="1"/>
    <xf numFmtId="44" fontId="3" fillId="6" borderId="23" xfId="2" applyFont="1" applyFill="1" applyBorder="1" applyAlignment="1">
      <alignment vertical="center"/>
    </xf>
    <xf numFmtId="0" fontId="0" fillId="0" borderId="31" xfId="0" applyBorder="1"/>
    <xf numFmtId="0" fontId="3" fillId="0" borderId="32" xfId="0" applyFont="1" applyFill="1" applyBorder="1" applyAlignment="1">
      <alignment horizontal="center" vertical="center" wrapText="1"/>
    </xf>
    <xf numFmtId="0" fontId="0" fillId="0" borderId="32" xfId="0" applyBorder="1"/>
    <xf numFmtId="164" fontId="0" fillId="0" borderId="32" xfId="0" applyNumberFormat="1" applyBorder="1"/>
    <xf numFmtId="0" fontId="2" fillId="0" borderId="33" xfId="0" applyFont="1" applyBorder="1"/>
    <xf numFmtId="0" fontId="2" fillId="0" borderId="7" xfId="0" applyFont="1" applyBorder="1"/>
    <xf numFmtId="0" fontId="0" fillId="0" borderId="9" xfId="0" applyBorder="1"/>
    <xf numFmtId="166" fontId="10" fillId="0" borderId="0" xfId="0" applyNumberFormat="1" applyFont="1" applyFill="1" applyBorder="1"/>
    <xf numFmtId="166" fontId="2" fillId="6" borderId="23" xfId="0" applyNumberFormat="1" applyFont="1" applyFill="1" applyBorder="1"/>
    <xf numFmtId="0" fontId="11" fillId="0" borderId="0" xfId="0" applyFont="1" applyAlignment="1">
      <alignment vertical="center"/>
    </xf>
    <xf numFmtId="166" fontId="0" fillId="0" borderId="0" xfId="0" applyNumberFormat="1"/>
    <xf numFmtId="166" fontId="2" fillId="6" borderId="24" xfId="0" applyNumberFormat="1" applyFont="1" applyFill="1" applyBorder="1"/>
    <xf numFmtId="0" fontId="0" fillId="0" borderId="16" xfId="0" applyBorder="1"/>
    <xf numFmtId="0" fontId="0" fillId="0" borderId="6" xfId="0" applyBorder="1"/>
    <xf numFmtId="164" fontId="0" fillId="0" borderId="6" xfId="0" applyNumberFormat="1" applyBorder="1"/>
    <xf numFmtId="0" fontId="0" fillId="0" borderId="18" xfId="0" applyBorder="1"/>
    <xf numFmtId="166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0" fillId="0" borderId="17" xfId="0" applyBorder="1"/>
    <xf numFmtId="0" fontId="4" fillId="0" borderId="1" xfId="0" applyFont="1" applyBorder="1" applyAlignment="1">
      <alignment horizontal="right" vertical="top"/>
    </xf>
    <xf numFmtId="0" fontId="3" fillId="0" borderId="34" xfId="0" applyFont="1" applyBorder="1" applyAlignment="1">
      <alignment horizontal="right" vertical="top" wrapText="1"/>
    </xf>
    <xf numFmtId="0" fontId="3" fillId="0" borderId="35" xfId="0" applyFont="1" applyBorder="1" applyAlignment="1">
      <alignment horizontal="center" vertical="center" wrapText="1"/>
    </xf>
    <xf numFmtId="44" fontId="3" fillId="6" borderId="2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top" wrapText="1"/>
    </xf>
    <xf numFmtId="44" fontId="3" fillId="0" borderId="1" xfId="2" applyFont="1" applyBorder="1" applyAlignment="1">
      <alignment horizontal="right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right" vertical="top" wrapText="1"/>
    </xf>
    <xf numFmtId="44" fontId="3" fillId="3" borderId="1" xfId="2" applyFont="1" applyFill="1" applyBorder="1" applyAlignment="1">
      <alignment horizontal="right" vertical="top"/>
    </xf>
    <xf numFmtId="0" fontId="4" fillId="0" borderId="1" xfId="0" applyFont="1" applyBorder="1"/>
    <xf numFmtId="0" fontId="7" fillId="0" borderId="1" xfId="0" applyFont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top" wrapText="1"/>
    </xf>
    <xf numFmtId="0" fontId="4" fillId="0" borderId="1" xfId="0" quotePrefix="1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44" fontId="3" fillId="0" borderId="1" xfId="2" applyFont="1" applyFill="1" applyBorder="1" applyAlignment="1">
      <alignment horizontal="right" vertical="top"/>
    </xf>
    <xf numFmtId="0" fontId="3" fillId="0" borderId="16" xfId="0" applyFont="1" applyBorder="1" applyAlignment="1">
      <alignment horizontal="right" vertical="top" wrapText="1"/>
    </xf>
    <xf numFmtId="0" fontId="3" fillId="3" borderId="6" xfId="0" applyFont="1" applyFill="1" applyBorder="1" applyAlignment="1">
      <alignment horizontal="left" vertical="center" wrapText="1"/>
    </xf>
    <xf numFmtId="164" fontId="3" fillId="3" borderId="6" xfId="0" applyNumberFormat="1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0" borderId="18" xfId="0" applyFont="1" applyBorder="1" applyAlignment="1">
      <alignment horizontal="right" vertical="top" wrapText="1"/>
    </xf>
    <xf numFmtId="44" fontId="3" fillId="0" borderId="12" xfId="2" applyFont="1" applyBorder="1" applyAlignment="1">
      <alignment horizontal="right" vertical="top"/>
    </xf>
    <xf numFmtId="44" fontId="3" fillId="3" borderId="12" xfId="2" applyFont="1" applyFill="1" applyBorder="1" applyAlignment="1">
      <alignment horizontal="right" vertical="top"/>
    </xf>
    <xf numFmtId="0" fontId="4" fillId="0" borderId="12" xfId="0" applyFont="1" applyBorder="1"/>
    <xf numFmtId="0" fontId="3" fillId="0" borderId="18" xfId="0" applyFont="1" applyFill="1" applyBorder="1" applyAlignment="1">
      <alignment horizontal="right" vertical="top" wrapText="1"/>
    </xf>
    <xf numFmtId="44" fontId="3" fillId="0" borderId="12" xfId="2" applyFont="1" applyFill="1" applyBorder="1" applyAlignment="1">
      <alignment horizontal="right" vertical="top"/>
    </xf>
    <xf numFmtId="0" fontId="3" fillId="0" borderId="17" xfId="0" applyFont="1" applyBorder="1" applyAlignment="1">
      <alignment horizontal="right" vertical="top" wrapText="1"/>
    </xf>
    <xf numFmtId="0" fontId="4" fillId="0" borderId="9" xfId="0" quotePrefix="1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44" fontId="3" fillId="0" borderId="9" xfId="2" applyFont="1" applyBorder="1" applyAlignment="1">
      <alignment horizontal="right" vertical="top"/>
    </xf>
    <xf numFmtId="44" fontId="3" fillId="0" borderId="10" xfId="2" applyFont="1" applyBorder="1" applyAlignment="1">
      <alignment horizontal="right" vertical="top"/>
    </xf>
    <xf numFmtId="0" fontId="9" fillId="0" borderId="1" xfId="0" quotePrefix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vertical="top" wrapText="1"/>
    </xf>
    <xf numFmtId="44" fontId="7" fillId="0" borderId="1" xfId="2" applyFont="1" applyBorder="1" applyAlignment="1">
      <alignment horizontal="right" vertical="top"/>
    </xf>
    <xf numFmtId="44" fontId="7" fillId="0" borderId="12" xfId="2" applyFont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2" fontId="7" fillId="0" borderId="1" xfId="0" applyNumberFormat="1" applyFont="1" applyBorder="1" applyAlignment="1">
      <alignment horizontal="right" vertical="top"/>
    </xf>
    <xf numFmtId="2" fontId="3" fillId="0" borderId="1" xfId="2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3" fillId="3" borderId="1" xfId="0" applyFont="1" applyFill="1" applyBorder="1" applyAlignment="1">
      <alignment horizontal="center" vertical="top"/>
    </xf>
    <xf numFmtId="2" fontId="3" fillId="3" borderId="1" xfId="0" applyNumberFormat="1" applyFont="1" applyFill="1" applyBorder="1" applyAlignment="1">
      <alignment horizontal="right" vertical="top"/>
    </xf>
    <xf numFmtId="0" fontId="9" fillId="0" borderId="1" xfId="0" applyFont="1" applyBorder="1"/>
    <xf numFmtId="0" fontId="3" fillId="0" borderId="16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top"/>
    </xf>
    <xf numFmtId="0" fontId="4" fillId="0" borderId="18" xfId="0" applyFont="1" applyFill="1" applyBorder="1" applyAlignment="1">
      <alignment horizontal="right" vertical="top"/>
    </xf>
    <xf numFmtId="0" fontId="4" fillId="0" borderId="17" xfId="0" applyFont="1" applyFill="1" applyBorder="1" applyAlignment="1">
      <alignment horizontal="right" vertical="top"/>
    </xf>
    <xf numFmtId="0" fontId="3" fillId="0" borderId="9" xfId="0" applyFont="1" applyBorder="1" applyAlignment="1">
      <alignment horizontal="center" vertical="top"/>
    </xf>
    <xf numFmtId="2" fontId="3" fillId="0" borderId="9" xfId="0" applyNumberFormat="1" applyFont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4" fontId="3" fillId="0" borderId="1" xfId="2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/>
    <xf numFmtId="0" fontId="4" fillId="3" borderId="1" xfId="0" applyFont="1" applyFill="1" applyBorder="1"/>
    <xf numFmtId="0" fontId="4" fillId="0" borderId="1" xfId="0" applyFont="1" applyBorder="1" applyAlignment="1">
      <alignment horizontal="center"/>
    </xf>
    <xf numFmtId="0" fontId="8" fillId="0" borderId="1" xfId="0" applyFont="1" applyBorder="1"/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2" fillId="0" borderId="1" xfId="0" applyNumberFormat="1" applyFont="1" applyBorder="1"/>
    <xf numFmtId="0" fontId="2" fillId="3" borderId="1" xfId="0" applyFont="1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0" borderId="1" xfId="0" applyFont="1" applyBorder="1" applyAlignment="1">
      <alignment horizontal="left"/>
    </xf>
    <xf numFmtId="164" fontId="3" fillId="3" borderId="6" xfId="0" applyNumberFormat="1" applyFont="1" applyFill="1" applyBorder="1" applyAlignment="1">
      <alignment horizontal="center" vertical="center" wrapText="1"/>
    </xf>
    <xf numFmtId="0" fontId="4" fillId="0" borderId="18" xfId="0" applyFont="1" applyBorder="1"/>
    <xf numFmtId="0" fontId="0" fillId="3" borderId="12" xfId="0" applyFill="1" applyBorder="1"/>
    <xf numFmtId="0" fontId="0" fillId="0" borderId="12" xfId="0" applyBorder="1"/>
    <xf numFmtId="44" fontId="7" fillId="0" borderId="1" xfId="2" applyFont="1" applyBorder="1" applyAlignment="1">
      <alignment horizontal="center" vertical="center"/>
    </xf>
    <xf numFmtId="0" fontId="12" fillId="0" borderId="1" xfId="0" applyFont="1" applyBorder="1"/>
    <xf numFmtId="0" fontId="10" fillId="0" borderId="1" xfId="0" applyFont="1" applyBorder="1" applyAlignment="1">
      <alignment horizontal="center"/>
    </xf>
    <xf numFmtId="16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wrapText="1"/>
    </xf>
    <xf numFmtId="164" fontId="3" fillId="0" borderId="1" xfId="0" applyNumberFormat="1" applyFont="1" applyBorder="1" applyAlignment="1">
      <alignment vertical="top"/>
    </xf>
    <xf numFmtId="0" fontId="4" fillId="0" borderId="1" xfId="0" quotePrefix="1" applyFont="1" applyBorder="1" applyAlignment="1">
      <alignment vertical="top" wrapText="1"/>
    </xf>
    <xf numFmtId="0" fontId="3" fillId="0" borderId="1" xfId="0" quotePrefix="1" applyFont="1" applyBorder="1" applyAlignment="1">
      <alignment vertical="top" wrapText="1"/>
    </xf>
    <xf numFmtId="0" fontId="9" fillId="0" borderId="1" xfId="0" quotePrefix="1" applyFont="1" applyBorder="1" applyAlignment="1">
      <alignment wrapText="1"/>
    </xf>
    <xf numFmtId="0" fontId="7" fillId="0" borderId="1" xfId="0" applyFont="1" applyBorder="1" applyAlignment="1">
      <alignment horizontal="center" vertical="top"/>
    </xf>
    <xf numFmtId="164" fontId="7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vertical="top"/>
    </xf>
    <xf numFmtId="164" fontId="7" fillId="0" borderId="1" xfId="0" applyNumberFormat="1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wrapText="1"/>
    </xf>
    <xf numFmtId="0" fontId="0" fillId="0" borderId="7" xfId="0" applyBorder="1"/>
    <xf numFmtId="44" fontId="3" fillId="0" borderId="12" xfId="2" applyFont="1" applyBorder="1" applyAlignment="1">
      <alignment vertical="top"/>
    </xf>
    <xf numFmtId="44" fontId="7" fillId="0" borderId="12" xfId="2" applyFont="1" applyBorder="1" applyAlignment="1">
      <alignment vertical="top"/>
    </xf>
    <xf numFmtId="0" fontId="4" fillId="0" borderId="9" xfId="0" quotePrefix="1" applyFont="1" applyBorder="1" applyAlignment="1">
      <alignment wrapText="1"/>
    </xf>
    <xf numFmtId="164" fontId="3" fillId="0" borderId="9" xfId="0" applyNumberFormat="1" applyFont="1" applyBorder="1" applyAlignment="1">
      <alignment vertical="top"/>
    </xf>
    <xf numFmtId="0" fontId="3" fillId="0" borderId="9" xfId="0" applyFont="1" applyBorder="1" applyAlignment="1">
      <alignment vertical="top"/>
    </xf>
    <xf numFmtId="44" fontId="3" fillId="0" borderId="9" xfId="2" applyFont="1" applyBorder="1" applyAlignment="1">
      <alignment vertical="top"/>
    </xf>
    <xf numFmtId="44" fontId="3" fillId="0" borderId="10" xfId="2" applyFont="1" applyBorder="1" applyAlignment="1">
      <alignment vertical="top"/>
    </xf>
    <xf numFmtId="44" fontId="3" fillId="6" borderId="24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right" vertical="top"/>
    </xf>
    <xf numFmtId="0" fontId="4" fillId="0" borderId="17" xfId="0" applyFont="1" applyBorder="1" applyAlignment="1">
      <alignment horizontal="right" vertical="top"/>
    </xf>
    <xf numFmtId="164" fontId="3" fillId="0" borderId="9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0" fontId="13" fillId="4" borderId="0" xfId="0" applyFont="1" applyFill="1"/>
    <xf numFmtId="0" fontId="8" fillId="0" borderId="18" xfId="0" applyFont="1" applyBorder="1"/>
    <xf numFmtId="0" fontId="8" fillId="0" borderId="17" xfId="0" applyFont="1" applyBorder="1"/>
    <xf numFmtId="0" fontId="8" fillId="0" borderId="0" xfId="0" applyFont="1" applyAlignment="1">
      <alignment horizontal="right" vertical="top"/>
    </xf>
    <xf numFmtId="164" fontId="13" fillId="4" borderId="0" xfId="0" applyNumberFormat="1" applyFont="1" applyFill="1"/>
    <xf numFmtId="0" fontId="2" fillId="0" borderId="0" xfId="0" applyFont="1" applyAlignment="1">
      <alignment horizontal="left"/>
    </xf>
    <xf numFmtId="2" fontId="0" fillId="0" borderId="1" xfId="0" applyNumberFormat="1" applyBorder="1"/>
    <xf numFmtId="0" fontId="0" fillId="0" borderId="16" xfId="0" applyBorder="1" applyAlignment="1">
      <alignment horizontal="right" vertical="top"/>
    </xf>
    <xf numFmtId="2" fontId="0" fillId="0" borderId="6" xfId="0" applyNumberFormat="1" applyBorder="1"/>
    <xf numFmtId="166" fontId="2" fillId="0" borderId="6" xfId="0" applyNumberFormat="1" applyFont="1" applyBorder="1"/>
    <xf numFmtId="44" fontId="3" fillId="0" borderId="7" xfId="2" applyFont="1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164" fontId="0" fillId="0" borderId="9" xfId="0" applyNumberFormat="1" applyBorder="1"/>
    <xf numFmtId="166" fontId="2" fillId="0" borderId="9" xfId="0" applyNumberFormat="1" applyFont="1" applyBorder="1"/>
    <xf numFmtId="0" fontId="14" fillId="0" borderId="36" xfId="0" applyFont="1" applyBorder="1"/>
    <xf numFmtId="0" fontId="15" fillId="0" borderId="37" xfId="0" applyFont="1" applyBorder="1"/>
    <xf numFmtId="0" fontId="14" fillId="0" borderId="37" xfId="0" applyFont="1" applyBorder="1"/>
    <xf numFmtId="167" fontId="15" fillId="0" borderId="37" xfId="0" applyNumberFormat="1" applyFont="1" applyBorder="1"/>
    <xf numFmtId="0" fontId="12" fillId="0" borderId="0" xfId="0" applyFont="1"/>
    <xf numFmtId="166" fontId="10" fillId="6" borderId="24" xfId="0" applyNumberFormat="1" applyFont="1" applyFill="1" applyBorder="1"/>
    <xf numFmtId="0" fontId="10" fillId="4" borderId="0" xfId="0" applyFont="1" applyFill="1"/>
    <xf numFmtId="0" fontId="12" fillId="4" borderId="0" xfId="0" applyFont="1" applyFill="1"/>
    <xf numFmtId="164" fontId="12" fillId="4" borderId="0" xfId="0" applyNumberFormat="1" applyFont="1" applyFill="1"/>
    <xf numFmtId="0" fontId="14" fillId="0" borderId="16" xfId="0" applyFont="1" applyBorder="1" applyAlignment="1">
      <alignment wrapText="1"/>
    </xf>
    <xf numFmtId="0" fontId="16" fillId="0" borderId="6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wrapText="1"/>
    </xf>
    <xf numFmtId="164" fontId="14" fillId="0" borderId="6" xfId="0" applyNumberFormat="1" applyFont="1" applyBorder="1" applyAlignment="1">
      <alignment wrapText="1"/>
    </xf>
    <xf numFmtId="0" fontId="15" fillId="0" borderId="6" xfId="0" applyFont="1" applyBorder="1" applyAlignment="1">
      <alignment horizontal="center" vertical="center" wrapText="1"/>
    </xf>
    <xf numFmtId="0" fontId="14" fillId="0" borderId="18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166" fontId="15" fillId="0" borderId="1" xfId="0" applyNumberFormat="1" applyFont="1" applyBorder="1" applyAlignment="1">
      <alignment wrapText="1"/>
    </xf>
    <xf numFmtId="166" fontId="15" fillId="0" borderId="12" xfId="0" applyNumberFormat="1" applyFont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14" fillId="0" borderId="17" xfId="0" applyFont="1" applyBorder="1" applyAlignment="1">
      <alignment wrapText="1"/>
    </xf>
    <xf numFmtId="0" fontId="14" fillId="0" borderId="9" xfId="0" applyFont="1" applyBorder="1" applyAlignment="1">
      <alignment wrapText="1"/>
    </xf>
    <xf numFmtId="166" fontId="15" fillId="0" borderId="9" xfId="0" applyNumberFormat="1" applyFont="1" applyBorder="1" applyAlignment="1">
      <alignment wrapText="1"/>
    </xf>
    <xf numFmtId="166" fontId="15" fillId="0" borderId="10" xfId="0" applyNumberFormat="1" applyFont="1" applyBorder="1" applyAlignment="1">
      <alignment wrapText="1"/>
    </xf>
    <xf numFmtId="0" fontId="14" fillId="0" borderId="1" xfId="0" applyFont="1" applyBorder="1" applyAlignment="1">
      <alignment horizontal="left" vertical="center" wrapText="1"/>
    </xf>
    <xf numFmtId="166" fontId="15" fillId="0" borderId="1" xfId="0" applyNumberFormat="1" applyFont="1" applyBorder="1" applyAlignment="1">
      <alignment horizontal="right" vertical="center"/>
    </xf>
    <xf numFmtId="166" fontId="15" fillId="0" borderId="12" xfId="0" applyNumberFormat="1" applyFont="1" applyBorder="1" applyAlignment="1">
      <alignment horizontal="right" vertical="center"/>
    </xf>
    <xf numFmtId="0" fontId="14" fillId="0" borderId="18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/>
    <xf numFmtId="166" fontId="15" fillId="0" borderId="1" xfId="0" applyNumberFormat="1" applyFont="1" applyBorder="1"/>
    <xf numFmtId="166" fontId="15" fillId="0" borderId="12" xfId="0" applyNumberFormat="1" applyFont="1" applyBorder="1"/>
    <xf numFmtId="0" fontId="14" fillId="0" borderId="17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9" xfId="0" applyFont="1" applyBorder="1"/>
    <xf numFmtId="166" fontId="15" fillId="0" borderId="9" xfId="0" applyNumberFormat="1" applyFont="1" applyBorder="1"/>
    <xf numFmtId="166" fontId="15" fillId="0" borderId="10" xfId="0" applyNumberFormat="1" applyFont="1" applyBorder="1"/>
    <xf numFmtId="166" fontId="15" fillId="7" borderId="23" xfId="0" applyNumberFormat="1" applyFont="1" applyFill="1" applyBorder="1"/>
    <xf numFmtId="44" fontId="12" fillId="0" borderId="1" xfId="0" applyNumberFormat="1" applyFont="1" applyBorder="1"/>
    <xf numFmtId="0" fontId="12" fillId="0" borderId="9" xfId="0" applyFont="1" applyBorder="1"/>
    <xf numFmtId="44" fontId="7" fillId="0" borderId="9" xfId="2" applyFont="1" applyBorder="1" applyAlignment="1">
      <alignment horizontal="right" vertical="top"/>
    </xf>
    <xf numFmtId="44" fontId="7" fillId="0" borderId="10" xfId="2" applyFont="1" applyBorder="1" applyAlignment="1">
      <alignment horizontal="right" vertical="top"/>
    </xf>
    <xf numFmtId="44" fontId="3" fillId="0" borderId="12" xfId="2" applyNumberFormat="1" applyFont="1" applyBorder="1" applyAlignment="1">
      <alignment horizontal="right" vertical="top"/>
    </xf>
    <xf numFmtId="44" fontId="7" fillId="0" borderId="12" xfId="2" applyNumberFormat="1" applyFont="1" applyBorder="1" applyAlignment="1">
      <alignment horizontal="center" vertical="center"/>
    </xf>
    <xf numFmtId="44" fontId="3" fillId="0" borderId="12" xfId="2" applyNumberFormat="1" applyFont="1" applyBorder="1" applyAlignment="1">
      <alignment horizontal="center" vertical="center"/>
    </xf>
    <xf numFmtId="44" fontId="3" fillId="3" borderId="12" xfId="2" applyNumberFormat="1" applyFont="1" applyFill="1" applyBorder="1" applyAlignment="1">
      <alignment horizontal="right" vertical="top"/>
    </xf>
    <xf numFmtId="44" fontId="4" fillId="3" borderId="12" xfId="0" applyNumberFormat="1" applyFont="1" applyFill="1" applyBorder="1"/>
    <xf numFmtId="44" fontId="7" fillId="0" borderId="12" xfId="2" applyNumberFormat="1" applyFont="1" applyBorder="1" applyAlignment="1">
      <alignment horizontal="right" vertical="top"/>
    </xf>
    <xf numFmtId="44" fontId="0" fillId="3" borderId="12" xfId="0" applyNumberFormat="1" applyFill="1" applyBorder="1"/>
    <xf numFmtId="44" fontId="0" fillId="0" borderId="12" xfId="0" applyNumberFormat="1" applyBorder="1"/>
    <xf numFmtId="44" fontId="3" fillId="0" borderId="1" xfId="2" applyNumberFormat="1" applyFont="1" applyBorder="1" applyAlignment="1">
      <alignment horizontal="right" vertical="top"/>
    </xf>
    <xf numFmtId="4" fontId="18" fillId="0" borderId="0" xfId="3" applyNumberFormat="1"/>
    <xf numFmtId="0" fontId="18" fillId="0" borderId="0" xfId="3"/>
    <xf numFmtId="0" fontId="18" fillId="0" borderId="0" xfId="3" applyAlignment="1">
      <alignment horizontal="center"/>
    </xf>
    <xf numFmtId="4" fontId="18" fillId="0" borderId="23" xfId="3" applyNumberFormat="1" applyBorder="1" applyAlignment="1">
      <alignment horizontal="center" wrapText="1"/>
    </xf>
    <xf numFmtId="0" fontId="18" fillId="0" borderId="24" xfId="3" applyBorder="1" applyAlignment="1">
      <alignment horizontal="center"/>
    </xf>
    <xf numFmtId="0" fontId="18" fillId="0" borderId="44" xfId="3" applyNumberFormat="1" applyBorder="1" applyAlignment="1">
      <alignment horizontal="center"/>
    </xf>
    <xf numFmtId="0" fontId="18" fillId="0" borderId="46" xfId="3" applyNumberFormat="1" applyBorder="1" applyAlignment="1">
      <alignment horizontal="center"/>
    </xf>
    <xf numFmtId="4" fontId="19" fillId="4" borderId="41" xfId="3" applyNumberFormat="1" applyFont="1" applyFill="1" applyBorder="1" applyAlignment="1">
      <alignment horizontal="right"/>
    </xf>
    <xf numFmtId="4" fontId="19" fillId="4" borderId="23" xfId="3" applyNumberFormat="1" applyFont="1" applyFill="1" applyBorder="1" applyAlignment="1">
      <alignment horizontal="right"/>
    </xf>
    <xf numFmtId="0" fontId="18" fillId="0" borderId="23" xfId="3" applyBorder="1" applyAlignment="1">
      <alignment horizontal="center"/>
    </xf>
    <xf numFmtId="0" fontId="21" fillId="0" borderId="23" xfId="3" applyFont="1" applyBorder="1" applyAlignment="1">
      <alignment horizontal="center"/>
    </xf>
    <xf numFmtId="4" fontId="18" fillId="0" borderId="23" xfId="3" applyNumberFormat="1" applyBorder="1"/>
    <xf numFmtId="4" fontId="18" fillId="0" borderId="42" xfId="3" applyNumberFormat="1" applyBorder="1"/>
    <xf numFmtId="4" fontId="19" fillId="4" borderId="41" xfId="3" applyNumberFormat="1" applyFont="1" applyFill="1" applyBorder="1" applyAlignment="1">
      <alignment horizontal="center"/>
    </xf>
    <xf numFmtId="4" fontId="19" fillId="4" borderId="23" xfId="3" applyNumberFormat="1" applyFont="1" applyFill="1" applyBorder="1"/>
    <xf numFmtId="4" fontId="19" fillId="4" borderId="42" xfId="3" applyNumberFormat="1" applyFont="1" applyFill="1" applyBorder="1"/>
    <xf numFmtId="0" fontId="19" fillId="4" borderId="23" xfId="3" applyFont="1" applyFill="1" applyBorder="1" applyAlignment="1">
      <alignment horizontal="center"/>
    </xf>
    <xf numFmtId="0" fontId="19" fillId="0" borderId="23" xfId="3" applyFont="1" applyFill="1" applyBorder="1" applyAlignment="1">
      <alignment horizontal="center"/>
    </xf>
    <xf numFmtId="0" fontId="19" fillId="0" borderId="41" xfId="3" applyFont="1" applyFill="1" applyBorder="1" applyAlignment="1">
      <alignment horizontal="center"/>
    </xf>
    <xf numFmtId="0" fontId="18" fillId="0" borderId="23" xfId="3" applyFill="1" applyBorder="1" applyAlignment="1"/>
    <xf numFmtId="4" fontId="18" fillId="0" borderId="42" xfId="3" applyNumberFormat="1" applyFill="1" applyBorder="1" applyAlignment="1"/>
    <xf numFmtId="4" fontId="19" fillId="0" borderId="23" xfId="3" applyNumberFormat="1" applyFont="1" applyFill="1" applyBorder="1"/>
    <xf numFmtId="4" fontId="19" fillId="0" borderId="42" xfId="3" applyNumberFormat="1" applyFont="1" applyFill="1" applyBorder="1"/>
    <xf numFmtId="0" fontId="18" fillId="0" borderId="42" xfId="3" applyFill="1" applyBorder="1" applyAlignment="1"/>
    <xf numFmtId="0" fontId="19" fillId="0" borderId="0" xfId="3" applyFont="1"/>
    <xf numFmtId="0" fontId="19" fillId="0" borderId="0" xfId="3" applyFont="1" applyAlignment="1">
      <alignment horizontal="center"/>
    </xf>
    <xf numFmtId="0" fontId="22" fillId="0" borderId="0" xfId="3" applyFont="1"/>
    <xf numFmtId="0" fontId="18" fillId="0" borderId="23" xfId="3" applyFont="1" applyBorder="1" applyAlignment="1">
      <alignment horizontal="center"/>
    </xf>
    <xf numFmtId="0" fontId="18" fillId="0" borderId="24" xfId="3" applyBorder="1" applyAlignment="1">
      <alignment horizontal="center"/>
    </xf>
    <xf numFmtId="0" fontId="18" fillId="4" borderId="24" xfId="3" applyFont="1" applyFill="1" applyBorder="1" applyAlignment="1">
      <alignment horizontal="center"/>
    </xf>
    <xf numFmtId="0" fontId="18" fillId="4" borderId="23" xfId="3" applyFont="1" applyFill="1" applyBorder="1" applyAlignment="1">
      <alignment horizontal="center"/>
    </xf>
    <xf numFmtId="0" fontId="18" fillId="8" borderId="23" xfId="3" applyFill="1" applyBorder="1" applyAlignment="1">
      <alignment horizontal="center"/>
    </xf>
    <xf numFmtId="0" fontId="18" fillId="8" borderId="23" xfId="3" applyFont="1" applyFill="1" applyBorder="1" applyAlignment="1">
      <alignment horizontal="center"/>
    </xf>
    <xf numFmtId="4" fontId="18" fillId="8" borderId="23" xfId="3" applyNumberFormat="1" applyFill="1" applyBorder="1"/>
    <xf numFmtId="4" fontId="18" fillId="8" borderId="42" xfId="3" applyNumberFormat="1" applyFill="1" applyBorder="1"/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8" fillId="0" borderId="38" xfId="3" applyBorder="1" applyAlignment="1">
      <alignment horizontal="center"/>
    </xf>
    <xf numFmtId="0" fontId="18" fillId="0" borderId="24" xfId="3" applyBorder="1" applyAlignment="1">
      <alignment horizontal="center"/>
    </xf>
    <xf numFmtId="0" fontId="18" fillId="0" borderId="39" xfId="3" applyBorder="1" applyAlignment="1">
      <alignment horizontal="center"/>
    </xf>
    <xf numFmtId="0" fontId="18" fillId="0" borderId="40" xfId="3" applyBorder="1" applyAlignment="1">
      <alignment horizontal="center"/>
    </xf>
    <xf numFmtId="0" fontId="18" fillId="0" borderId="43" xfId="3" applyBorder="1" applyAlignment="1">
      <alignment horizontal="center"/>
    </xf>
    <xf numFmtId="0" fontId="18" fillId="0" borderId="44" xfId="3" applyBorder="1" applyAlignment="1">
      <alignment horizontal="center"/>
    </xf>
    <xf numFmtId="0" fontId="18" fillId="0" borderId="38" xfId="3" applyBorder="1" applyAlignment="1">
      <alignment horizontal="center" wrapText="1"/>
    </xf>
    <xf numFmtId="0" fontId="18" fillId="0" borderId="24" xfId="3" applyBorder="1" applyAlignment="1">
      <alignment horizontal="center" wrapText="1"/>
    </xf>
    <xf numFmtId="4" fontId="18" fillId="0" borderId="38" xfId="3" applyNumberFormat="1" applyBorder="1" applyAlignment="1">
      <alignment horizontal="center" wrapText="1"/>
    </xf>
    <xf numFmtId="4" fontId="18" fillId="0" borderId="24" xfId="3" applyNumberFormat="1" applyBorder="1" applyAlignment="1">
      <alignment horizontal="center" wrapText="1"/>
    </xf>
    <xf numFmtId="4" fontId="18" fillId="0" borderId="41" xfId="3" applyNumberFormat="1" applyBorder="1" applyAlignment="1">
      <alignment horizontal="center"/>
    </xf>
    <xf numFmtId="4" fontId="18" fillId="0" borderId="42" xfId="3" applyNumberFormat="1" applyBorder="1" applyAlignment="1">
      <alignment horizontal="center"/>
    </xf>
    <xf numFmtId="0" fontId="18" fillId="0" borderId="45" xfId="3" applyBorder="1" applyAlignment="1">
      <alignment horizontal="center" wrapText="1"/>
    </xf>
    <xf numFmtId="0" fontId="18" fillId="0" borderId="42" xfId="3" applyBorder="1" applyAlignment="1">
      <alignment horizontal="center" wrapText="1"/>
    </xf>
    <xf numFmtId="0" fontId="18" fillId="0" borderId="34" xfId="3" applyNumberFormat="1" applyBorder="1" applyAlignment="1">
      <alignment horizontal="center"/>
    </xf>
    <xf numFmtId="0" fontId="18" fillId="0" borderId="40" xfId="3" applyNumberFormat="1" applyBorder="1" applyAlignment="1">
      <alignment horizontal="center"/>
    </xf>
    <xf numFmtId="0" fontId="18" fillId="0" borderId="45" xfId="3" applyFont="1" applyBorder="1" applyAlignment="1">
      <alignment wrapText="1"/>
    </xf>
    <xf numFmtId="0" fontId="18" fillId="0" borderId="45" xfId="3" applyBorder="1" applyAlignment="1">
      <alignment wrapText="1"/>
    </xf>
    <xf numFmtId="0" fontId="18" fillId="0" borderId="42" xfId="3" applyBorder="1" applyAlignment="1">
      <alignment wrapText="1"/>
    </xf>
    <xf numFmtId="0" fontId="19" fillId="4" borderId="45" xfId="3" applyFont="1" applyFill="1" applyBorder="1" applyAlignment="1">
      <alignment horizontal="center" wrapText="1"/>
    </xf>
    <xf numFmtId="0" fontId="19" fillId="4" borderId="42" xfId="3" applyFont="1" applyFill="1" applyBorder="1" applyAlignment="1">
      <alignment horizontal="center" wrapText="1"/>
    </xf>
    <xf numFmtId="0" fontId="19" fillId="4" borderId="45" xfId="3" applyFont="1" applyFill="1" applyBorder="1" applyAlignment="1">
      <alignment wrapText="1"/>
    </xf>
    <xf numFmtId="0" fontId="18" fillId="4" borderId="45" xfId="3" applyFill="1" applyBorder="1" applyAlignment="1">
      <alignment wrapText="1"/>
    </xf>
    <xf numFmtId="0" fontId="18" fillId="4" borderId="42" xfId="3" applyFill="1" applyBorder="1" applyAlignment="1">
      <alignment wrapText="1"/>
    </xf>
    <xf numFmtId="0" fontId="18" fillId="0" borderId="41" xfId="3" applyFont="1" applyBorder="1" applyAlignment="1">
      <alignment horizontal="left" wrapText="1"/>
    </xf>
    <xf numFmtId="0" fontId="18" fillId="0" borderId="45" xfId="3" applyFont="1" applyBorder="1" applyAlignment="1">
      <alignment horizontal="left" wrapText="1"/>
    </xf>
    <xf numFmtId="0" fontId="18" fillId="0" borderId="42" xfId="3" applyFont="1" applyBorder="1" applyAlignment="1">
      <alignment horizontal="left" wrapText="1"/>
    </xf>
    <xf numFmtId="0" fontId="18" fillId="0" borderId="41" xfId="3" applyBorder="1" applyAlignment="1">
      <alignment wrapText="1"/>
    </xf>
    <xf numFmtId="0" fontId="19" fillId="4" borderId="42" xfId="3" applyFont="1" applyFill="1" applyBorder="1" applyAlignment="1">
      <alignment wrapText="1"/>
    </xf>
    <xf numFmtId="0" fontId="18" fillId="8" borderId="45" xfId="3" applyFont="1" applyFill="1" applyBorder="1" applyAlignment="1">
      <alignment wrapText="1"/>
    </xf>
    <xf numFmtId="0" fontId="18" fillId="8" borderId="45" xfId="3" applyFill="1" applyBorder="1" applyAlignment="1">
      <alignment wrapText="1"/>
    </xf>
    <xf numFmtId="0" fontId="18" fillId="8" borderId="42" xfId="3" applyFill="1" applyBorder="1" applyAlignment="1">
      <alignment wrapText="1"/>
    </xf>
    <xf numFmtId="0" fontId="18" fillId="0" borderId="41" xfId="3" applyFont="1" applyFill="1" applyBorder="1" applyAlignment="1">
      <alignment wrapText="1"/>
    </xf>
    <xf numFmtId="0" fontId="21" fillId="0" borderId="45" xfId="3" applyFont="1" applyFill="1" applyBorder="1" applyAlignment="1">
      <alignment wrapText="1"/>
    </xf>
    <xf numFmtId="0" fontId="21" fillId="0" borderId="42" xfId="3" applyFont="1" applyFill="1" applyBorder="1" applyAlignment="1">
      <alignment wrapText="1"/>
    </xf>
    <xf numFmtId="0" fontId="21" fillId="0" borderId="41" xfId="3" applyFont="1" applyFill="1" applyBorder="1" applyAlignment="1">
      <alignment wrapText="1"/>
    </xf>
    <xf numFmtId="0" fontId="21" fillId="0" borderId="45" xfId="3" applyFont="1" applyBorder="1" applyAlignment="1">
      <alignment wrapText="1"/>
    </xf>
    <xf numFmtId="0" fontId="21" fillId="0" borderId="42" xfId="3" applyFont="1" applyBorder="1" applyAlignment="1">
      <alignment wrapText="1"/>
    </xf>
    <xf numFmtId="0" fontId="20" fillId="0" borderId="0" xfId="3" applyFont="1" applyAlignment="1">
      <alignment horizontal="center" vertical="center" wrapText="1"/>
    </xf>
    <xf numFmtId="4" fontId="19" fillId="4" borderId="41" xfId="3" applyNumberFormat="1" applyFont="1" applyFill="1" applyBorder="1" applyAlignment="1">
      <alignment horizontal="center" vertical="center"/>
    </xf>
    <xf numFmtId="0" fontId="18" fillId="0" borderId="45" xfId="3" applyBorder="1" applyAlignment="1">
      <alignment horizontal="center" vertical="center"/>
    </xf>
    <xf numFmtId="0" fontId="18" fillId="0" borderId="42" xfId="3" applyBorder="1" applyAlignment="1">
      <alignment horizontal="center" vertical="center"/>
    </xf>
    <xf numFmtId="0" fontId="19" fillId="4" borderId="41" xfId="3" applyFont="1" applyFill="1" applyBorder="1" applyAlignment="1">
      <alignment horizontal="center" vertical="center"/>
    </xf>
    <xf numFmtId="0" fontId="19" fillId="0" borderId="45" xfId="3" applyFont="1" applyBorder="1" applyAlignment="1">
      <alignment horizontal="center" vertical="center"/>
    </xf>
    <xf numFmtId="0" fontId="19" fillId="4" borderId="41" xfId="3" applyFont="1" applyFill="1" applyBorder="1" applyAlignment="1">
      <alignment vertical="center"/>
    </xf>
    <xf numFmtId="0" fontId="19" fillId="4" borderId="45" xfId="3" applyFont="1" applyFill="1" applyBorder="1" applyAlignment="1">
      <alignment vertical="center"/>
    </xf>
    <xf numFmtId="0" fontId="19" fillId="4" borderId="42" xfId="3" applyFont="1" applyFill="1" applyBorder="1" applyAlignment="1">
      <alignment vertical="center"/>
    </xf>
    <xf numFmtId="0" fontId="19" fillId="4" borderId="23" xfId="3" applyFont="1" applyFill="1" applyBorder="1" applyAlignment="1">
      <alignment horizontal="center" vertical="center"/>
    </xf>
    <xf numFmtId="4" fontId="19" fillId="4" borderId="23" xfId="3" applyNumberFormat="1" applyFont="1" applyFill="1" applyBorder="1" applyAlignment="1">
      <alignment horizontal="center" vertical="center"/>
    </xf>
    <xf numFmtId="4" fontId="19" fillId="4" borderId="23" xfId="3" applyNumberFormat="1" applyFont="1" applyFill="1" applyBorder="1" applyAlignment="1">
      <alignment vertical="center"/>
    </xf>
    <xf numFmtId="4" fontId="19" fillId="4" borderId="42" xfId="3" applyNumberFormat="1" applyFont="1" applyFill="1" applyBorder="1" applyAlignment="1">
      <alignment vertical="center"/>
    </xf>
    <xf numFmtId="0" fontId="19" fillId="4" borderId="45" xfId="3" applyFont="1" applyFill="1" applyBorder="1" applyAlignment="1">
      <alignment horizontal="center" vertical="center" wrapText="1"/>
    </xf>
    <xf numFmtId="0" fontId="19" fillId="4" borderId="42" xfId="3" applyFont="1" applyFill="1" applyBorder="1" applyAlignment="1">
      <alignment horizontal="center" vertical="center" wrapText="1"/>
    </xf>
    <xf numFmtId="0" fontId="19" fillId="4" borderId="46" xfId="3" applyFont="1" applyFill="1" applyBorder="1" applyAlignment="1">
      <alignment horizontal="center" vertical="center"/>
    </xf>
  </cellXfs>
  <cellStyles count="4">
    <cellStyle name="Dziesiętny" xfId="1" builtinId="3"/>
    <cellStyle name="Normalny" xfId="0" builtinId="0"/>
    <cellStyle name="Normalny 2" xfId="3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szewczyk\Desktop\Kultura\Kopia%20ZIT%20Kultura%20-%20oszacowanie%20koszt&#243;w%202%20DS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rkiego 18"/>
      <sheetName val="Piłsudskiego 133"/>
      <sheetName val="Siedlecka 1"/>
      <sheetName val="Krzemieniecka 2a"/>
      <sheetName val="Struga 90"/>
      <sheetName val="Struga 90 - obmiar"/>
      <sheetName val="SUM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6"/>
  <sheetViews>
    <sheetView view="pageBreakPreview" topLeftCell="A19" zoomScale="60" zoomScaleNormal="100" workbookViewId="0">
      <selection activeCell="H41" sqref="H41"/>
    </sheetView>
  </sheetViews>
  <sheetFormatPr defaultRowHeight="15" x14ac:dyDescent="0.25"/>
  <cols>
    <col min="1" max="1" width="9.140625" style="70"/>
    <col min="2" max="2" width="1.85546875" customWidth="1"/>
    <col min="3" max="3" width="65" bestFit="1" customWidth="1"/>
    <col min="4" max="4" width="13.140625" customWidth="1"/>
    <col min="5" max="5" width="13.140625" style="14" customWidth="1"/>
    <col min="6" max="6" width="13.140625" customWidth="1"/>
    <col min="7" max="7" width="14.140625" bestFit="1" customWidth="1"/>
    <col min="8" max="8" width="15.28515625" bestFit="1" customWidth="1"/>
    <col min="9" max="9" width="13.140625" style="6" customWidth="1"/>
    <col min="11" max="11" width="12.85546875" bestFit="1" customWidth="1"/>
  </cols>
  <sheetData>
    <row r="1" spans="2:11" s="70" customFormat="1" ht="14.45" x14ac:dyDescent="0.3">
      <c r="E1" s="14"/>
      <c r="I1" s="6"/>
    </row>
    <row r="2" spans="2:11" ht="14.45" x14ac:dyDescent="0.3">
      <c r="B2" s="3" t="s">
        <v>27</v>
      </c>
    </row>
    <row r="3" spans="2:11" thickBot="1" x14ac:dyDescent="0.35"/>
    <row r="4" spans="2:11" s="69" customFormat="1" ht="26.25" thickBot="1" x14ac:dyDescent="0.25">
      <c r="B4" s="350" t="s">
        <v>0</v>
      </c>
      <c r="C4" s="351"/>
      <c r="D4" s="87" t="s">
        <v>1</v>
      </c>
      <c r="E4" s="88" t="s">
        <v>2</v>
      </c>
      <c r="F4" s="87" t="s">
        <v>3</v>
      </c>
      <c r="G4" s="87" t="s">
        <v>4</v>
      </c>
      <c r="H4" s="89" t="s">
        <v>5</v>
      </c>
      <c r="I4" s="1"/>
    </row>
    <row r="5" spans="2:11" s="70" customFormat="1" ht="14.45" x14ac:dyDescent="0.3">
      <c r="B5" s="122">
        <v>1</v>
      </c>
      <c r="C5" s="233" t="s">
        <v>92</v>
      </c>
      <c r="D5" s="123"/>
      <c r="E5" s="124"/>
      <c r="F5" s="123"/>
      <c r="G5" s="123"/>
      <c r="H5" s="234"/>
      <c r="I5" s="6"/>
    </row>
    <row r="6" spans="2:11" ht="26.25" x14ac:dyDescent="0.25">
      <c r="B6" s="193" t="s">
        <v>26</v>
      </c>
      <c r="C6" s="222" t="s">
        <v>41</v>
      </c>
      <c r="D6" s="178" t="s">
        <v>89</v>
      </c>
      <c r="E6" s="183"/>
      <c r="F6" s="180"/>
      <c r="G6" s="223">
        <f t="shared" ref="G6:G10" si="0">E6*F6</f>
        <v>0</v>
      </c>
      <c r="H6" s="235">
        <f>151852.24+26813.21+30506.44</f>
        <v>209171.88999999998</v>
      </c>
      <c r="I6" s="71" t="s">
        <v>35</v>
      </c>
      <c r="K6" s="86"/>
    </row>
    <row r="7" spans="2:11" ht="27.6" x14ac:dyDescent="0.3">
      <c r="B7" s="193" t="s">
        <v>26</v>
      </c>
      <c r="C7" s="224" t="s">
        <v>42</v>
      </c>
      <c r="D7" s="178" t="s">
        <v>89</v>
      </c>
      <c r="E7" s="183"/>
      <c r="F7" s="180"/>
      <c r="G7" s="223">
        <f t="shared" si="0"/>
        <v>0</v>
      </c>
      <c r="H7" s="235">
        <f>10066.32+35491.9</f>
        <v>45558.22</v>
      </c>
      <c r="I7" s="71" t="s">
        <v>35</v>
      </c>
    </row>
    <row r="8" spans="2:11" s="70" customFormat="1" x14ac:dyDescent="0.25">
      <c r="B8" s="193"/>
      <c r="C8" s="224" t="s">
        <v>128</v>
      </c>
      <c r="D8" s="178" t="s">
        <v>89</v>
      </c>
      <c r="E8" s="183">
        <v>1</v>
      </c>
      <c r="F8" s="180"/>
      <c r="G8" s="223"/>
      <c r="H8" s="235">
        <v>20000</v>
      </c>
      <c r="I8" s="71"/>
    </row>
    <row r="9" spans="2:11" s="70" customFormat="1" x14ac:dyDescent="0.25">
      <c r="B9" s="193">
        <v>2</v>
      </c>
      <c r="C9" s="225" t="s">
        <v>76</v>
      </c>
      <c r="D9" s="178"/>
      <c r="E9" s="183"/>
      <c r="F9" s="180"/>
      <c r="G9" s="223"/>
      <c r="H9" s="235"/>
      <c r="I9" s="71"/>
    </row>
    <row r="10" spans="2:11" s="70" customFormat="1" ht="14.45" x14ac:dyDescent="0.3">
      <c r="B10" s="193"/>
      <c r="C10" s="225" t="s">
        <v>93</v>
      </c>
      <c r="D10" s="178"/>
      <c r="E10" s="183"/>
      <c r="F10" s="180"/>
      <c r="G10" s="223">
        <f t="shared" si="0"/>
        <v>0</v>
      </c>
      <c r="H10" s="235"/>
      <c r="I10" s="71"/>
    </row>
    <row r="11" spans="2:11" x14ac:dyDescent="0.25">
      <c r="B11" s="125"/>
      <c r="C11" s="226" t="s">
        <v>95</v>
      </c>
      <c r="D11" s="227" t="s">
        <v>17</v>
      </c>
      <c r="E11" s="228">
        <v>220</v>
      </c>
      <c r="F11" s="229">
        <v>30</v>
      </c>
      <c r="G11" s="228">
        <f>E11*F11</f>
        <v>6600</v>
      </c>
      <c r="H11" s="236">
        <f>G11*1.23</f>
        <v>8118</v>
      </c>
    </row>
    <row r="12" spans="2:11" s="70" customFormat="1" ht="14.45" x14ac:dyDescent="0.3">
      <c r="B12" s="125"/>
      <c r="C12" s="226" t="s">
        <v>98</v>
      </c>
      <c r="D12" s="227" t="s">
        <v>17</v>
      </c>
      <c r="E12" s="228">
        <v>86</v>
      </c>
      <c r="F12" s="229">
        <v>300</v>
      </c>
      <c r="G12" s="228">
        <f>E12*F12</f>
        <v>25800</v>
      </c>
      <c r="H12" s="236">
        <f>G12*1.23</f>
        <v>31734</v>
      </c>
      <c r="I12" s="6"/>
    </row>
    <row r="13" spans="2:11" s="70" customFormat="1" x14ac:dyDescent="0.25">
      <c r="B13" s="125"/>
      <c r="C13" s="91" t="s">
        <v>94</v>
      </c>
      <c r="D13" s="90"/>
      <c r="E13" s="92"/>
      <c r="F13" s="90"/>
      <c r="G13" s="223">
        <f t="shared" ref="G13:G20" si="1">E13*F13</f>
        <v>0</v>
      </c>
      <c r="H13" s="216"/>
      <c r="I13" s="6"/>
    </row>
    <row r="14" spans="2:11" s="70" customFormat="1" ht="26.25" x14ac:dyDescent="0.25">
      <c r="B14" s="125"/>
      <c r="C14" s="222" t="s">
        <v>88</v>
      </c>
      <c r="D14" s="178" t="s">
        <v>89</v>
      </c>
      <c r="E14" s="183">
        <v>1</v>
      </c>
      <c r="F14" s="180">
        <v>20000</v>
      </c>
      <c r="G14" s="223">
        <f t="shared" si="1"/>
        <v>20000</v>
      </c>
      <c r="H14" s="235">
        <f>20000</f>
        <v>20000</v>
      </c>
      <c r="I14" s="6"/>
    </row>
    <row r="15" spans="2:11" s="70" customFormat="1" x14ac:dyDescent="0.25">
      <c r="B15" s="125"/>
      <c r="C15" s="222" t="s">
        <v>90</v>
      </c>
      <c r="D15" s="178" t="s">
        <v>89</v>
      </c>
      <c r="E15" s="183">
        <v>1</v>
      </c>
      <c r="F15" s="180">
        <v>10000</v>
      </c>
      <c r="G15" s="223">
        <f t="shared" si="1"/>
        <v>10000</v>
      </c>
      <c r="H15" s="235">
        <f>G15*1.23</f>
        <v>12300</v>
      </c>
      <c r="I15" s="6"/>
    </row>
    <row r="16" spans="2:11" s="70" customFormat="1" x14ac:dyDescent="0.25">
      <c r="B16" s="125"/>
      <c r="C16" s="222" t="s">
        <v>96</v>
      </c>
      <c r="D16" s="178" t="s">
        <v>89</v>
      </c>
      <c r="E16" s="183">
        <v>1</v>
      </c>
      <c r="F16" s="180">
        <v>5000</v>
      </c>
      <c r="G16" s="223">
        <f t="shared" si="1"/>
        <v>5000</v>
      </c>
      <c r="H16" s="235">
        <f t="shared" ref="H16:H17" si="2">G16*1.23</f>
        <v>6150</v>
      </c>
      <c r="I16" s="6"/>
    </row>
    <row r="17" spans="2:9" s="70" customFormat="1" x14ac:dyDescent="0.25">
      <c r="B17" s="125"/>
      <c r="C17" s="226" t="s">
        <v>97</v>
      </c>
      <c r="D17" s="227" t="s">
        <v>17</v>
      </c>
      <c r="E17" s="230">
        <f>3.9*15.7</f>
        <v>61.23</v>
      </c>
      <c r="F17" s="231">
        <v>500</v>
      </c>
      <c r="G17" s="230">
        <f>E17*F17</f>
        <v>30615</v>
      </c>
      <c r="H17" s="236">
        <f t="shared" si="2"/>
        <v>37656.449999999997</v>
      </c>
      <c r="I17" s="6"/>
    </row>
    <row r="18" spans="2:9" x14ac:dyDescent="0.25">
      <c r="B18" s="125"/>
      <c r="C18" s="90" t="s">
        <v>77</v>
      </c>
      <c r="D18" s="232" t="s">
        <v>17</v>
      </c>
      <c r="E18" s="93">
        <f>43.56*1.2</f>
        <v>52.271999999999998</v>
      </c>
      <c r="F18" s="91">
        <v>30</v>
      </c>
      <c r="G18" s="223">
        <f t="shared" si="1"/>
        <v>1568.1599999999999</v>
      </c>
      <c r="H18" s="235">
        <f t="shared" ref="H18:H20" si="3">G18*1.23</f>
        <v>1928.8367999999998</v>
      </c>
    </row>
    <row r="19" spans="2:9" ht="14.45" x14ac:dyDescent="0.3">
      <c r="B19" s="125"/>
      <c r="C19" s="90" t="s">
        <v>75</v>
      </c>
      <c r="D19" s="232" t="s">
        <v>17</v>
      </c>
      <c r="E19" s="93">
        <f>43.56*3.3</f>
        <v>143.74799999999999</v>
      </c>
      <c r="F19" s="91">
        <v>2000</v>
      </c>
      <c r="G19" s="223">
        <f t="shared" si="1"/>
        <v>287496</v>
      </c>
      <c r="H19" s="235">
        <f t="shared" si="3"/>
        <v>353620.08</v>
      </c>
    </row>
    <row r="20" spans="2:9" ht="14.45" x14ac:dyDescent="0.3">
      <c r="B20" s="125"/>
      <c r="C20" s="90" t="s">
        <v>91</v>
      </c>
      <c r="D20" s="232" t="s">
        <v>17</v>
      </c>
      <c r="E20" s="93">
        <v>121</v>
      </c>
      <c r="F20" s="91">
        <v>300</v>
      </c>
      <c r="G20" s="223">
        <f t="shared" si="1"/>
        <v>36300</v>
      </c>
      <c r="H20" s="235">
        <f t="shared" si="3"/>
        <v>44649</v>
      </c>
    </row>
    <row r="21" spans="2:9" ht="14.45" x14ac:dyDescent="0.3">
      <c r="B21" s="125">
        <v>3</v>
      </c>
      <c r="C21" s="91" t="s">
        <v>78</v>
      </c>
      <c r="D21" s="90"/>
      <c r="E21" s="92"/>
      <c r="F21" s="90"/>
      <c r="G21" s="90"/>
      <c r="H21" s="216"/>
    </row>
    <row r="22" spans="2:9" ht="27" customHeight="1" x14ac:dyDescent="0.3">
      <c r="B22" s="125"/>
      <c r="C22" s="224" t="s">
        <v>51</v>
      </c>
      <c r="D22" s="178" t="s">
        <v>18</v>
      </c>
      <c r="E22" s="183">
        <v>1</v>
      </c>
      <c r="F22" s="180" t="s">
        <v>26</v>
      </c>
      <c r="G22" s="180" t="s">
        <v>26</v>
      </c>
      <c r="H22" s="235">
        <v>10425.48</v>
      </c>
      <c r="I22" s="71" t="s">
        <v>35</v>
      </c>
    </row>
    <row r="23" spans="2:9" ht="26.25" x14ac:dyDescent="0.25">
      <c r="B23" s="125"/>
      <c r="C23" s="222" t="s">
        <v>86</v>
      </c>
      <c r="D23" s="178" t="s">
        <v>18</v>
      </c>
      <c r="E23" s="183">
        <v>1</v>
      </c>
      <c r="F23" s="180" t="s">
        <v>26</v>
      </c>
      <c r="G23" s="180" t="s">
        <v>26</v>
      </c>
      <c r="H23" s="235">
        <v>140000</v>
      </c>
    </row>
    <row r="24" spans="2:9" ht="15.75" thickBot="1" x14ac:dyDescent="0.3">
      <c r="B24" s="128"/>
      <c r="C24" s="237" t="s">
        <v>87</v>
      </c>
      <c r="D24" s="196" t="s">
        <v>18</v>
      </c>
      <c r="E24" s="238"/>
      <c r="F24" s="239"/>
      <c r="G24" s="240">
        <v>15000</v>
      </c>
      <c r="H24" s="241">
        <f>G24*1.23</f>
        <v>18450</v>
      </c>
    </row>
    <row r="25" spans="2:9" thickBot="1" x14ac:dyDescent="0.35">
      <c r="H25" s="83">
        <f>SUM(H5:H24)</f>
        <v>959761.95680000004</v>
      </c>
    </row>
    <row r="28" spans="2:9" ht="14.45" x14ac:dyDescent="0.3">
      <c r="B28" s="90"/>
      <c r="C28" s="91" t="s">
        <v>79</v>
      </c>
      <c r="D28" s="90"/>
      <c r="E28" s="92"/>
      <c r="F28" s="90"/>
      <c r="G28" s="90"/>
      <c r="H28" s="90"/>
    </row>
    <row r="29" spans="2:9" x14ac:dyDescent="0.25">
      <c r="B29" s="90"/>
      <c r="C29" s="90" t="s">
        <v>82</v>
      </c>
      <c r="D29" s="90" t="s">
        <v>17</v>
      </c>
      <c r="E29" s="93">
        <f>28*3.3+9*5</f>
        <v>137.39999999999998</v>
      </c>
      <c r="F29" s="91">
        <v>50</v>
      </c>
      <c r="G29" s="93">
        <f>E29*F29</f>
        <v>6869.9999999999991</v>
      </c>
      <c r="H29" s="93">
        <f>G29*1.23</f>
        <v>8450.0999999999985</v>
      </c>
    </row>
    <row r="30" spans="2:9" s="70" customFormat="1" ht="14.45" x14ac:dyDescent="0.3">
      <c r="B30" s="90"/>
      <c r="C30" s="90" t="s">
        <v>83</v>
      </c>
      <c r="D30" s="90" t="s">
        <v>17</v>
      </c>
      <c r="E30" s="93">
        <f>9*5</f>
        <v>45</v>
      </c>
      <c r="F30" s="91">
        <v>300</v>
      </c>
      <c r="G30" s="93">
        <f t="shared" ref="G30:G33" si="4">E30*F30</f>
        <v>13500</v>
      </c>
      <c r="H30" s="93">
        <f t="shared" ref="H30:H33" si="5">G30*1.23</f>
        <v>16605</v>
      </c>
      <c r="I30" s="6"/>
    </row>
    <row r="31" spans="2:9" ht="14.45" x14ac:dyDescent="0.3">
      <c r="B31" s="90"/>
      <c r="C31" s="90" t="s">
        <v>81</v>
      </c>
      <c r="D31" s="90" t="s">
        <v>84</v>
      </c>
      <c r="E31" s="93">
        <v>1</v>
      </c>
      <c r="F31" s="91">
        <v>2500</v>
      </c>
      <c r="G31" s="93">
        <f t="shared" si="4"/>
        <v>2500</v>
      </c>
      <c r="H31" s="93">
        <f t="shared" si="5"/>
        <v>3075</v>
      </c>
    </row>
    <row r="32" spans="2:9" ht="14.45" x14ac:dyDescent="0.3">
      <c r="B32" s="90"/>
      <c r="C32" s="90" t="s">
        <v>85</v>
      </c>
      <c r="D32" s="90" t="s">
        <v>17</v>
      </c>
      <c r="E32" s="93">
        <v>10</v>
      </c>
      <c r="F32" s="91">
        <v>1500</v>
      </c>
      <c r="G32" s="93">
        <f t="shared" si="4"/>
        <v>15000</v>
      </c>
      <c r="H32" s="93">
        <f t="shared" si="5"/>
        <v>18450</v>
      </c>
    </row>
    <row r="33" spans="2:9" ht="14.45" x14ac:dyDescent="0.3">
      <c r="B33" s="90"/>
      <c r="C33" s="90" t="s">
        <v>80</v>
      </c>
      <c r="D33" s="90" t="s">
        <v>17</v>
      </c>
      <c r="E33" s="93">
        <v>100</v>
      </c>
      <c r="F33" s="91">
        <v>50</v>
      </c>
      <c r="G33" s="93">
        <f t="shared" si="4"/>
        <v>5000</v>
      </c>
      <c r="H33" s="93">
        <f t="shared" si="5"/>
        <v>6150</v>
      </c>
    </row>
    <row r="34" spans="2:9" ht="15.75" thickBot="1" x14ac:dyDescent="0.3">
      <c r="H34" s="83">
        <v>0</v>
      </c>
      <c r="I34" s="254" t="s">
        <v>283</v>
      </c>
    </row>
    <row r="36" spans="2:9" thickBot="1" x14ac:dyDescent="0.35">
      <c r="C36" s="104" t="s">
        <v>228</v>
      </c>
      <c r="D36" s="104"/>
      <c r="E36" s="105"/>
      <c r="F36" s="104"/>
      <c r="G36" s="104"/>
      <c r="H36" s="104"/>
    </row>
    <row r="37" spans="2:9" s="70" customFormat="1" thickBot="1" x14ac:dyDescent="0.35">
      <c r="E37" s="14"/>
      <c r="H37" s="109">
        <v>0</v>
      </c>
      <c r="I37" s="6"/>
    </row>
    <row r="38" spans="2:9" s="70" customFormat="1" ht="14.45" x14ac:dyDescent="0.3">
      <c r="E38" s="14"/>
      <c r="I38" s="6"/>
    </row>
    <row r="39" spans="2:9" ht="15.75" thickBot="1" x14ac:dyDescent="0.3">
      <c r="B39" s="268"/>
      <c r="C39" s="270" t="s">
        <v>215</v>
      </c>
      <c r="D39" s="271"/>
      <c r="E39" s="272"/>
      <c r="F39" s="271"/>
      <c r="G39" s="271"/>
      <c r="H39" s="271"/>
    </row>
    <row r="40" spans="2:9" x14ac:dyDescent="0.25">
      <c r="B40" s="273"/>
      <c r="C40" s="274" t="s">
        <v>232</v>
      </c>
      <c r="D40" s="275"/>
      <c r="E40" s="276"/>
      <c r="F40" s="275"/>
      <c r="G40" s="277" t="str">
        <f>G4</f>
        <v>Wartość netto</v>
      </c>
      <c r="H40" s="277" t="str">
        <f>H4</f>
        <v>Wartość brutto</v>
      </c>
    </row>
    <row r="41" spans="2:9" x14ac:dyDescent="0.25">
      <c r="B41" s="278">
        <v>1</v>
      </c>
      <c r="C41" s="279" t="s">
        <v>233</v>
      </c>
      <c r="D41" s="280"/>
      <c r="E41" s="280"/>
      <c r="F41" s="280"/>
      <c r="G41" s="281">
        <f>H41/1.23</f>
        <v>48780.487804878052</v>
      </c>
      <c r="H41" s="282">
        <v>60000</v>
      </c>
    </row>
    <row r="42" spans="2:9" x14ac:dyDescent="0.25">
      <c r="B42" s="278"/>
      <c r="C42" s="280" t="s">
        <v>287</v>
      </c>
      <c r="D42" s="280"/>
      <c r="E42" s="280"/>
      <c r="F42" s="280"/>
      <c r="G42" s="281"/>
      <c r="H42" s="282"/>
    </row>
    <row r="43" spans="2:9" x14ac:dyDescent="0.25">
      <c r="B43" s="278"/>
      <c r="C43" s="280" t="s">
        <v>234</v>
      </c>
      <c r="D43" s="280"/>
      <c r="E43" s="280"/>
      <c r="F43" s="280"/>
      <c r="G43" s="281"/>
      <c r="H43" s="282"/>
    </row>
    <row r="44" spans="2:9" x14ac:dyDescent="0.25">
      <c r="B44" s="278"/>
      <c r="C44" s="280" t="s">
        <v>288</v>
      </c>
      <c r="D44" s="280"/>
      <c r="E44" s="280"/>
      <c r="F44" s="280"/>
      <c r="G44" s="281"/>
      <c r="H44" s="282"/>
    </row>
    <row r="45" spans="2:9" ht="14.45" x14ac:dyDescent="0.3">
      <c r="B45" s="278"/>
      <c r="C45" s="280" t="s">
        <v>235</v>
      </c>
      <c r="D45" s="280"/>
      <c r="E45" s="280"/>
      <c r="F45" s="280"/>
      <c r="G45" s="281"/>
      <c r="H45" s="282"/>
    </row>
    <row r="46" spans="2:9" x14ac:dyDescent="0.25">
      <c r="B46" s="278"/>
      <c r="C46" s="280" t="s">
        <v>289</v>
      </c>
      <c r="D46" s="280"/>
      <c r="E46" s="280"/>
      <c r="F46" s="280"/>
      <c r="G46" s="281"/>
      <c r="H46" s="282"/>
    </row>
    <row r="47" spans="2:9" x14ac:dyDescent="0.25">
      <c r="B47" s="278"/>
      <c r="C47" s="280" t="s">
        <v>290</v>
      </c>
      <c r="D47" s="280"/>
      <c r="E47" s="280"/>
      <c r="F47" s="280"/>
      <c r="G47" s="281"/>
      <c r="H47" s="282"/>
    </row>
    <row r="48" spans="2:9" x14ac:dyDescent="0.25">
      <c r="B48" s="278"/>
      <c r="C48" s="280" t="s">
        <v>236</v>
      </c>
      <c r="D48" s="280"/>
      <c r="E48" s="280"/>
      <c r="F48" s="280"/>
      <c r="G48" s="281"/>
      <c r="H48" s="282"/>
    </row>
    <row r="49" spans="2:9" x14ac:dyDescent="0.25">
      <c r="B49" s="278">
        <v>2</v>
      </c>
      <c r="C49" s="279" t="s">
        <v>237</v>
      </c>
      <c r="D49" s="280"/>
      <c r="E49" s="280"/>
      <c r="F49" s="280"/>
      <c r="G49" s="281">
        <f>H49/1.23</f>
        <v>24390.243902439026</v>
      </c>
      <c r="H49" s="282">
        <v>30000</v>
      </c>
    </row>
    <row r="50" spans="2:9" ht="14.45" x14ac:dyDescent="0.3">
      <c r="B50" s="278"/>
      <c r="C50" s="280" t="s">
        <v>238</v>
      </c>
      <c r="D50" s="280"/>
      <c r="E50" s="280"/>
      <c r="F50" s="280"/>
      <c r="G50" s="281"/>
      <c r="H50" s="282"/>
    </row>
    <row r="51" spans="2:9" x14ac:dyDescent="0.25">
      <c r="B51" s="278"/>
      <c r="C51" s="280" t="s">
        <v>239</v>
      </c>
      <c r="D51" s="280"/>
      <c r="E51" s="280"/>
      <c r="F51" s="280"/>
      <c r="G51" s="281"/>
      <c r="H51" s="282"/>
    </row>
    <row r="52" spans="2:9" x14ac:dyDescent="0.25">
      <c r="B52" s="278"/>
      <c r="C52" s="280" t="s">
        <v>240</v>
      </c>
      <c r="D52" s="280"/>
      <c r="E52" s="280"/>
      <c r="F52" s="280"/>
      <c r="G52" s="281"/>
      <c r="H52" s="282"/>
    </row>
    <row r="53" spans="2:9" ht="14.45" x14ac:dyDescent="0.3">
      <c r="B53" s="278"/>
      <c r="C53" s="280" t="s">
        <v>241</v>
      </c>
      <c r="D53" s="280"/>
      <c r="E53" s="280"/>
      <c r="F53" s="280"/>
      <c r="G53" s="281"/>
      <c r="H53" s="282"/>
    </row>
    <row r="54" spans="2:9" ht="14.45" x14ac:dyDescent="0.3">
      <c r="B54" s="278"/>
      <c r="C54" s="280" t="s">
        <v>291</v>
      </c>
      <c r="D54" s="280"/>
      <c r="E54" s="280"/>
      <c r="F54" s="280"/>
      <c r="G54" s="281"/>
      <c r="H54" s="282"/>
    </row>
    <row r="55" spans="2:9" ht="30" x14ac:dyDescent="0.25">
      <c r="B55" s="278"/>
      <c r="C55" s="280" t="s">
        <v>294</v>
      </c>
      <c r="D55" s="280"/>
      <c r="E55" s="280"/>
      <c r="F55" s="280"/>
      <c r="G55" s="281"/>
      <c r="H55" s="282"/>
    </row>
    <row r="56" spans="2:9" ht="30" x14ac:dyDescent="0.25">
      <c r="B56" s="278"/>
      <c r="C56" s="280" t="s">
        <v>295</v>
      </c>
      <c r="D56" s="280"/>
      <c r="E56" s="280"/>
      <c r="F56" s="280"/>
      <c r="G56" s="281"/>
      <c r="H56" s="282"/>
    </row>
    <row r="57" spans="2:9" ht="14.45" x14ac:dyDescent="0.3">
      <c r="B57" s="278">
        <v>3</v>
      </c>
      <c r="C57" s="283" t="s">
        <v>248</v>
      </c>
      <c r="D57" s="280"/>
      <c r="E57" s="280"/>
      <c r="F57" s="280"/>
      <c r="G57" s="281"/>
      <c r="H57" s="282"/>
    </row>
    <row r="58" spans="2:9" x14ac:dyDescent="0.25">
      <c r="B58" s="278"/>
      <c r="C58" s="280" t="s">
        <v>249</v>
      </c>
      <c r="D58" s="280"/>
      <c r="E58" s="280"/>
      <c r="F58" s="280"/>
      <c r="G58" s="281"/>
      <c r="H58" s="282">
        <v>1900</v>
      </c>
    </row>
    <row r="59" spans="2:9" s="70" customFormat="1" x14ac:dyDescent="0.25">
      <c r="B59" s="278"/>
      <c r="C59" s="280" t="s">
        <v>282</v>
      </c>
      <c r="D59" s="280"/>
      <c r="E59" s="280"/>
      <c r="F59" s="280"/>
      <c r="G59" s="281"/>
      <c r="H59" s="282">
        <v>3000</v>
      </c>
      <c r="I59" s="6"/>
    </row>
    <row r="60" spans="2:9" s="70" customFormat="1" ht="60" x14ac:dyDescent="0.25">
      <c r="B60" s="278"/>
      <c r="C60" s="280" t="s">
        <v>292</v>
      </c>
      <c r="D60" s="280" t="s">
        <v>18</v>
      </c>
      <c r="E60" s="280"/>
      <c r="F60" s="280"/>
      <c r="G60" s="281"/>
      <c r="H60" s="282">
        <v>31200</v>
      </c>
      <c r="I60" s="6"/>
    </row>
    <row r="61" spans="2:9" s="70" customFormat="1" ht="30" x14ac:dyDescent="0.25">
      <c r="B61" s="278"/>
      <c r="C61" s="280" t="s">
        <v>296</v>
      </c>
      <c r="D61" s="280"/>
      <c r="E61" s="280"/>
      <c r="F61" s="280"/>
      <c r="G61" s="281"/>
      <c r="H61" s="282">
        <v>9500</v>
      </c>
      <c r="I61" s="6"/>
    </row>
    <row r="62" spans="2:9" s="70" customFormat="1" ht="30" x14ac:dyDescent="0.25">
      <c r="B62" s="278"/>
      <c r="C62" s="280" t="s">
        <v>250</v>
      </c>
      <c r="D62" s="280"/>
      <c r="E62" s="280"/>
      <c r="F62" s="280"/>
      <c r="G62" s="281"/>
      <c r="H62" s="282">
        <v>2900</v>
      </c>
      <c r="I62" s="6"/>
    </row>
    <row r="63" spans="2:9" x14ac:dyDescent="0.25">
      <c r="B63" s="278">
        <v>4</v>
      </c>
      <c r="C63" s="283" t="s">
        <v>242</v>
      </c>
      <c r="D63" s="280"/>
      <c r="E63" s="280"/>
      <c r="F63" s="280"/>
      <c r="G63" s="281"/>
      <c r="H63" s="282"/>
    </row>
    <row r="64" spans="2:9" ht="30" x14ac:dyDescent="0.25">
      <c r="B64" s="278"/>
      <c r="C64" s="280" t="s">
        <v>243</v>
      </c>
      <c r="D64" s="280"/>
      <c r="E64" s="280"/>
      <c r="F64" s="280"/>
      <c r="G64" s="281">
        <f>H64/1.23</f>
        <v>2439.0243902439024</v>
      </c>
      <c r="H64" s="282">
        <v>3000</v>
      </c>
    </row>
    <row r="65" spans="2:8" ht="165" x14ac:dyDescent="0.25">
      <c r="B65" s="278"/>
      <c r="C65" s="280" t="s">
        <v>293</v>
      </c>
      <c r="D65" s="280"/>
      <c r="E65" s="280"/>
      <c r="F65" s="280"/>
      <c r="G65" s="281">
        <f>H65/1.23</f>
        <v>10162.60162601626</v>
      </c>
      <c r="H65" s="282">
        <v>12500</v>
      </c>
    </row>
    <row r="66" spans="2:8" x14ac:dyDescent="0.25">
      <c r="B66" s="278"/>
      <c r="C66" s="280" t="s">
        <v>244</v>
      </c>
      <c r="D66" s="280"/>
      <c r="E66" s="280"/>
      <c r="F66" s="280"/>
      <c r="G66" s="281">
        <f>H66/1.23</f>
        <v>6504.0650406504064</v>
      </c>
      <c r="H66" s="282">
        <v>8000</v>
      </c>
    </row>
    <row r="67" spans="2:8" x14ac:dyDescent="0.25">
      <c r="B67" s="278"/>
      <c r="C67" s="280" t="s">
        <v>245</v>
      </c>
      <c r="D67" s="280"/>
      <c r="E67" s="280"/>
      <c r="F67" s="280"/>
      <c r="G67" s="281">
        <f>H67/1.23</f>
        <v>4065.040650406504</v>
      </c>
      <c r="H67" s="282">
        <v>5000</v>
      </c>
    </row>
    <row r="68" spans="2:8" x14ac:dyDescent="0.25">
      <c r="B68" s="278">
        <v>5</v>
      </c>
      <c r="C68" s="279" t="s">
        <v>246</v>
      </c>
      <c r="D68" s="280"/>
      <c r="E68" s="280"/>
      <c r="F68" s="280"/>
      <c r="G68" s="281"/>
      <c r="H68" s="282"/>
    </row>
    <row r="69" spans="2:8" ht="30" x14ac:dyDescent="0.25">
      <c r="B69" s="278"/>
      <c r="C69" s="280" t="s">
        <v>247</v>
      </c>
      <c r="D69" s="280"/>
      <c r="E69" s="280"/>
      <c r="F69" s="280"/>
      <c r="G69" s="281">
        <f>H69/1.23</f>
        <v>4878.0487804878048</v>
      </c>
      <c r="H69" s="282">
        <v>6000</v>
      </c>
    </row>
    <row r="70" spans="2:8" ht="17.25" x14ac:dyDescent="0.25">
      <c r="B70" s="278"/>
      <c r="C70" s="280" t="s">
        <v>297</v>
      </c>
      <c r="D70" s="280"/>
      <c r="E70" s="280"/>
      <c r="F70" s="280"/>
      <c r="G70" s="281">
        <f>H70/1.23</f>
        <v>4065.040650406504</v>
      </c>
      <c r="H70" s="282">
        <v>5000</v>
      </c>
    </row>
    <row r="71" spans="2:8" ht="18" thickBot="1" x14ac:dyDescent="0.3">
      <c r="B71" s="284"/>
      <c r="C71" s="285" t="s">
        <v>298</v>
      </c>
      <c r="D71" s="285"/>
      <c r="E71" s="285"/>
      <c r="F71" s="285"/>
      <c r="G71" s="286">
        <f>H71/1.23</f>
        <v>1626.0162601626016</v>
      </c>
      <c r="H71" s="287">
        <v>2000</v>
      </c>
    </row>
    <row r="72" spans="2:8" ht="15.75" thickBot="1" x14ac:dyDescent="0.3">
      <c r="B72" s="70"/>
      <c r="C72" s="70"/>
      <c r="D72" s="70"/>
      <c r="F72" s="70"/>
      <c r="G72" s="70"/>
      <c r="H72" s="301">
        <f>SUM(H41:H71)</f>
        <v>180000</v>
      </c>
    </row>
    <row r="74" spans="2:8" x14ac:dyDescent="0.25">
      <c r="G74" s="254"/>
    </row>
    <row r="76" spans="2:8" x14ac:dyDescent="0.25">
      <c r="C76" s="119"/>
    </row>
  </sheetData>
  <mergeCells count="1">
    <mergeCell ref="B4:C4"/>
  </mergeCells>
  <pageMargins left="0.7" right="0.7" top="0.75" bottom="0.75" header="0.3" footer="0.3"/>
  <pageSetup paperSize="9" scale="56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2"/>
  <sheetViews>
    <sheetView view="pageBreakPreview" zoomScale="60" zoomScaleNormal="100" workbookViewId="0">
      <pane ySplit="4" topLeftCell="A25" activePane="bottomLeft" state="frozen"/>
      <selection pane="bottomLeft" activeCell="L40" sqref="L40"/>
    </sheetView>
  </sheetViews>
  <sheetFormatPr defaultRowHeight="15" x14ac:dyDescent="0.25"/>
  <cols>
    <col min="1" max="1" width="9.140625" style="70"/>
    <col min="2" max="2" width="1.85546875" customWidth="1"/>
    <col min="3" max="3" width="69" customWidth="1"/>
    <col min="4" max="4" width="13.140625" customWidth="1"/>
    <col min="5" max="5" width="10.28515625" style="14" customWidth="1"/>
    <col min="6" max="6" width="10.28515625" customWidth="1"/>
    <col min="7" max="8" width="13.85546875" customWidth="1"/>
    <col min="9" max="9" width="13.140625" style="6" customWidth="1"/>
    <col min="10" max="10" width="36.42578125" customWidth="1"/>
    <col min="11" max="11" width="12.7109375" bestFit="1" customWidth="1"/>
    <col min="12" max="12" width="11.5703125" bestFit="1" customWidth="1"/>
    <col min="13" max="13" width="14.28515625" bestFit="1" customWidth="1"/>
  </cols>
  <sheetData>
    <row r="1" spans="2:11" s="70" customFormat="1" ht="14.45" x14ac:dyDescent="0.3">
      <c r="E1" s="14"/>
      <c r="I1" s="6"/>
    </row>
    <row r="2" spans="2:11" x14ac:dyDescent="0.25">
      <c r="B2" s="352" t="s">
        <v>28</v>
      </c>
      <c r="C2" s="352"/>
    </row>
    <row r="3" spans="2:11" thickBot="1" x14ac:dyDescent="0.35"/>
    <row r="4" spans="2:11" s="69" customFormat="1" ht="39" thickBot="1" x14ac:dyDescent="0.25">
      <c r="B4" s="350" t="s">
        <v>0</v>
      </c>
      <c r="C4" s="351"/>
      <c r="D4" s="87" t="s">
        <v>1</v>
      </c>
      <c r="E4" s="88" t="s">
        <v>2</v>
      </c>
      <c r="F4" s="87" t="s">
        <v>3</v>
      </c>
      <c r="G4" s="87" t="s">
        <v>4</v>
      </c>
      <c r="H4" s="89" t="s">
        <v>5</v>
      </c>
      <c r="I4" s="1"/>
      <c r="K4" s="69" t="s">
        <v>161</v>
      </c>
    </row>
    <row r="5" spans="2:11" s="69" customFormat="1" ht="13.9" x14ac:dyDescent="0.3">
      <c r="B5" s="187"/>
      <c r="C5" s="156" t="s">
        <v>92</v>
      </c>
      <c r="D5" s="188"/>
      <c r="E5" s="213"/>
      <c r="F5" s="188"/>
      <c r="G5" s="188"/>
      <c r="H5" s="190"/>
      <c r="I5" s="1"/>
    </row>
    <row r="6" spans="2:11" s="69" customFormat="1" ht="25.5" x14ac:dyDescent="0.2">
      <c r="B6" s="191" t="s">
        <v>26</v>
      </c>
      <c r="C6" s="135" t="s">
        <v>45</v>
      </c>
      <c r="D6" s="136" t="s">
        <v>18</v>
      </c>
      <c r="E6" s="137" t="s">
        <v>26</v>
      </c>
      <c r="F6" s="133" t="s">
        <v>26</v>
      </c>
      <c r="G6" s="133" t="s">
        <v>26</v>
      </c>
      <c r="H6" s="306">
        <v>38749.919999999998</v>
      </c>
      <c r="I6" s="71" t="s">
        <v>35</v>
      </c>
      <c r="J6" s="82"/>
      <c r="K6" s="82" t="s">
        <v>100</v>
      </c>
    </row>
    <row r="7" spans="2:11" s="69" customFormat="1" ht="12.75" x14ac:dyDescent="0.2">
      <c r="B7" s="191"/>
      <c r="C7" s="135" t="s">
        <v>180</v>
      </c>
      <c r="D7" s="136" t="s">
        <v>17</v>
      </c>
      <c r="E7" s="137">
        <v>120</v>
      </c>
      <c r="F7" s="133">
        <v>100</v>
      </c>
      <c r="G7" s="153">
        <f>E7*F7</f>
        <v>12000</v>
      </c>
      <c r="H7" s="306">
        <f>G7*1.23</f>
        <v>14760</v>
      </c>
      <c r="I7" s="71"/>
      <c r="J7" s="82"/>
      <c r="K7" s="82"/>
    </row>
    <row r="8" spans="2:11" s="69" customFormat="1" ht="12.75" x14ac:dyDescent="0.2">
      <c r="B8" s="191"/>
      <c r="C8" s="135" t="s">
        <v>178</v>
      </c>
      <c r="D8" s="136" t="s">
        <v>19</v>
      </c>
      <c r="E8" s="137">
        <v>30</v>
      </c>
      <c r="F8" s="133">
        <v>120</v>
      </c>
      <c r="G8" s="153">
        <f>E8*F8</f>
        <v>3600</v>
      </c>
      <c r="H8" s="306">
        <f>G8*1.23</f>
        <v>4428</v>
      </c>
      <c r="I8" s="71"/>
      <c r="J8" s="82"/>
      <c r="K8" s="82"/>
    </row>
    <row r="9" spans="2:11" s="82" customFormat="1" ht="13.9" x14ac:dyDescent="0.3">
      <c r="B9" s="163" t="s">
        <v>26</v>
      </c>
      <c r="C9" s="152" t="s">
        <v>43</v>
      </c>
      <c r="D9" s="150" t="s">
        <v>17</v>
      </c>
      <c r="E9" s="153">
        <f>2*(13.49+11.84)*10.61</f>
        <v>537.50259999999992</v>
      </c>
      <c r="F9" s="151">
        <v>280</v>
      </c>
      <c r="G9" s="153">
        <f>E9*F9</f>
        <v>150500.72799999997</v>
      </c>
      <c r="H9" s="306">
        <f>G9*1.23</f>
        <v>185115.89543999996</v>
      </c>
      <c r="I9" s="81"/>
    </row>
    <row r="10" spans="2:11" s="69" customFormat="1" ht="25.5" x14ac:dyDescent="0.2">
      <c r="B10" s="159" t="s">
        <v>26</v>
      </c>
      <c r="C10" s="135" t="s">
        <v>158</v>
      </c>
      <c r="D10" s="136" t="s">
        <v>18</v>
      </c>
      <c r="E10" s="137" t="s">
        <v>26</v>
      </c>
      <c r="F10" s="133" t="s">
        <v>26</v>
      </c>
      <c r="G10" s="133" t="s">
        <v>26</v>
      </c>
      <c r="H10" s="306">
        <v>9298.7999999999993</v>
      </c>
      <c r="I10" s="1" t="s">
        <v>35</v>
      </c>
    </row>
    <row r="11" spans="2:11" x14ac:dyDescent="0.25">
      <c r="B11" s="125" t="s">
        <v>26</v>
      </c>
      <c r="C11" s="90" t="s">
        <v>170</v>
      </c>
      <c r="D11" s="90" t="s">
        <v>17</v>
      </c>
      <c r="E11" s="93">
        <v>5</v>
      </c>
      <c r="F11" s="91">
        <v>1000</v>
      </c>
      <c r="G11" s="138">
        <f>E11*F11</f>
        <v>5000</v>
      </c>
      <c r="H11" s="306">
        <f>G11*1.23</f>
        <v>6150</v>
      </c>
    </row>
    <row r="12" spans="2:11" s="69" customFormat="1" ht="13.9" x14ac:dyDescent="0.3">
      <c r="B12" s="159" t="s">
        <v>26</v>
      </c>
      <c r="C12" s="135" t="s">
        <v>162</v>
      </c>
      <c r="D12" s="136" t="s">
        <v>18</v>
      </c>
      <c r="E12" s="137">
        <v>1</v>
      </c>
      <c r="F12" s="147"/>
      <c r="G12" s="133"/>
      <c r="H12" s="306">
        <f>6995+4428</f>
        <v>11423</v>
      </c>
      <c r="I12" s="1"/>
    </row>
    <row r="13" spans="2:11" s="82" customFormat="1" ht="25.5" x14ac:dyDescent="0.2">
      <c r="B13" s="159" t="s">
        <v>26</v>
      </c>
      <c r="C13" s="135" t="s">
        <v>163</v>
      </c>
      <c r="D13" s="136" t="s">
        <v>18</v>
      </c>
      <c r="E13" s="137" t="s">
        <v>26</v>
      </c>
      <c r="F13" s="133" t="s">
        <v>26</v>
      </c>
      <c r="G13" s="133" t="s">
        <v>26</v>
      </c>
      <c r="H13" s="306">
        <v>36291.89</v>
      </c>
      <c r="I13" s="1" t="s">
        <v>35</v>
      </c>
      <c r="K13" s="69"/>
    </row>
    <row r="14" spans="2:11" s="82" customFormat="1" ht="13.9" x14ac:dyDescent="0.3">
      <c r="B14" s="159" t="s">
        <v>26</v>
      </c>
      <c r="C14" s="135" t="s">
        <v>168</v>
      </c>
      <c r="D14" s="136" t="s">
        <v>17</v>
      </c>
      <c r="E14" s="137">
        <v>16</v>
      </c>
      <c r="F14" s="133">
        <v>800</v>
      </c>
      <c r="G14" s="138">
        <f>E14*F14</f>
        <v>12800</v>
      </c>
      <c r="H14" s="306">
        <f>G14*1.23</f>
        <v>15744</v>
      </c>
      <c r="I14" s="1"/>
      <c r="K14" s="69"/>
    </row>
    <row r="15" spans="2:11" s="82" customFormat="1" ht="12.75" x14ac:dyDescent="0.2">
      <c r="B15" s="159" t="s">
        <v>26</v>
      </c>
      <c r="C15" s="135" t="s">
        <v>124</v>
      </c>
      <c r="D15" s="136" t="s">
        <v>17</v>
      </c>
      <c r="E15" s="137">
        <f>1.67+4.6+4.5+2.15+3.4+1.8+3+3+1.5+2.15+1.7+1.7+2.15+3+3.2</f>
        <v>39.520000000000003</v>
      </c>
      <c r="F15" s="133">
        <v>800</v>
      </c>
      <c r="G15" s="138">
        <f>E15*F15</f>
        <v>31616.000000000004</v>
      </c>
      <c r="H15" s="306">
        <f>G15*1.23</f>
        <v>38887.68</v>
      </c>
      <c r="I15" s="1"/>
      <c r="K15" s="69"/>
    </row>
    <row r="16" spans="2:11" s="82" customFormat="1" ht="13.9" x14ac:dyDescent="0.3">
      <c r="B16" s="159" t="s">
        <v>26</v>
      </c>
      <c r="C16" s="135" t="s">
        <v>125</v>
      </c>
      <c r="D16" s="136" t="s">
        <v>17</v>
      </c>
      <c r="E16" s="137">
        <f>1.7+4.5+4.6+3.4+2.15+0.6+0.6+1.5+2.15+11</f>
        <v>32.200000000000003</v>
      </c>
      <c r="F16" s="133">
        <v>1000</v>
      </c>
      <c r="G16" s="138">
        <v>25000</v>
      </c>
      <c r="H16" s="306">
        <f>G16*1.23</f>
        <v>30750</v>
      </c>
      <c r="I16" s="1"/>
      <c r="K16" s="69"/>
    </row>
    <row r="17" spans="2:12" s="82" customFormat="1" ht="12.75" x14ac:dyDescent="0.2">
      <c r="B17" s="159" t="s">
        <v>26</v>
      </c>
      <c r="C17" s="135" t="s">
        <v>160</v>
      </c>
      <c r="D17" s="136" t="s">
        <v>18</v>
      </c>
      <c r="E17" s="199" t="s">
        <v>26</v>
      </c>
      <c r="F17" s="136" t="s">
        <v>26</v>
      </c>
      <c r="G17" s="138">
        <v>1500</v>
      </c>
      <c r="H17" s="306">
        <f t="shared" ref="H17:H25" si="0">G17*1.23</f>
        <v>1845</v>
      </c>
    </row>
    <row r="18" spans="2:12" s="82" customFormat="1" ht="25.5" x14ac:dyDescent="0.2">
      <c r="B18" s="159" t="s">
        <v>26</v>
      </c>
      <c r="C18" s="135" t="s">
        <v>159</v>
      </c>
      <c r="D18" s="136" t="s">
        <v>18</v>
      </c>
      <c r="E18" s="199" t="s">
        <v>26</v>
      </c>
      <c r="F18" s="136" t="s">
        <v>26</v>
      </c>
      <c r="G18" s="217">
        <v>20000</v>
      </c>
      <c r="H18" s="307">
        <f t="shared" si="0"/>
        <v>24600</v>
      </c>
      <c r="I18" s="1"/>
      <c r="L18" s="82" t="s">
        <v>126</v>
      </c>
    </row>
    <row r="19" spans="2:12" s="82" customFormat="1" ht="51" x14ac:dyDescent="0.2">
      <c r="B19" s="159" t="s">
        <v>26</v>
      </c>
      <c r="C19" s="135" t="s">
        <v>164</v>
      </c>
      <c r="D19" s="136" t="s">
        <v>17</v>
      </c>
      <c r="E19" s="199">
        <v>25</v>
      </c>
      <c r="F19" s="136">
        <v>500</v>
      </c>
      <c r="G19" s="200">
        <f>E19*F19+5600</f>
        <v>18100</v>
      </c>
      <c r="H19" s="308">
        <f t="shared" si="0"/>
        <v>22263</v>
      </c>
      <c r="I19" s="81"/>
    </row>
    <row r="20" spans="2:12" s="82" customFormat="1" ht="12.75" x14ac:dyDescent="0.2">
      <c r="B20" s="159" t="s">
        <v>26</v>
      </c>
      <c r="C20" s="135" t="s">
        <v>165</v>
      </c>
      <c r="D20" s="136" t="s">
        <v>18</v>
      </c>
      <c r="E20" s="199">
        <v>1</v>
      </c>
      <c r="F20" s="136">
        <v>4000</v>
      </c>
      <c r="G20" s="138">
        <f>F20*E20</f>
        <v>4000</v>
      </c>
      <c r="H20" s="306">
        <f t="shared" si="0"/>
        <v>4920</v>
      </c>
      <c r="I20" s="81"/>
    </row>
    <row r="21" spans="2:12" s="82" customFormat="1" ht="14.45" x14ac:dyDescent="0.3">
      <c r="B21" s="159" t="s">
        <v>26</v>
      </c>
      <c r="C21" s="90" t="s">
        <v>169</v>
      </c>
      <c r="D21" s="201" t="s">
        <v>89</v>
      </c>
      <c r="E21" s="93">
        <v>1</v>
      </c>
      <c r="F21" s="136">
        <v>17000</v>
      </c>
      <c r="G21" s="138">
        <v>15000</v>
      </c>
      <c r="H21" s="306">
        <f t="shared" si="0"/>
        <v>18450</v>
      </c>
      <c r="I21" s="81"/>
    </row>
    <row r="22" spans="2:12" s="82" customFormat="1" ht="12.75" x14ac:dyDescent="0.2">
      <c r="B22" s="159" t="s">
        <v>26</v>
      </c>
      <c r="C22" s="135" t="s">
        <v>127</v>
      </c>
      <c r="D22" s="136" t="s">
        <v>18</v>
      </c>
      <c r="E22" s="137">
        <v>40</v>
      </c>
      <c r="F22" s="133">
        <v>120</v>
      </c>
      <c r="G22" s="138">
        <f>F22*E22</f>
        <v>4800</v>
      </c>
      <c r="H22" s="306">
        <f t="shared" si="0"/>
        <v>5904</v>
      </c>
      <c r="I22" s="81"/>
    </row>
    <row r="23" spans="2:12" s="82" customFormat="1" ht="12.75" x14ac:dyDescent="0.2">
      <c r="B23" s="159" t="s">
        <v>26</v>
      </c>
      <c r="C23" s="135" t="s">
        <v>167</v>
      </c>
      <c r="D23" s="136" t="s">
        <v>89</v>
      </c>
      <c r="E23" s="137"/>
      <c r="F23" s="133"/>
      <c r="G23" s="138">
        <v>20000</v>
      </c>
      <c r="H23" s="306">
        <f t="shared" si="0"/>
        <v>24600</v>
      </c>
      <c r="I23" s="81"/>
    </row>
    <row r="24" spans="2:12" s="82" customFormat="1" ht="13.9" x14ac:dyDescent="0.3">
      <c r="B24" s="159" t="s">
        <v>26</v>
      </c>
      <c r="C24" s="135" t="s">
        <v>166</v>
      </c>
      <c r="D24" s="136" t="s">
        <v>18</v>
      </c>
      <c r="E24" s="137">
        <v>1</v>
      </c>
      <c r="F24" s="133">
        <v>10000</v>
      </c>
      <c r="G24" s="138">
        <f>E24*F24</f>
        <v>10000</v>
      </c>
      <c r="H24" s="306">
        <f t="shared" si="0"/>
        <v>12300</v>
      </c>
      <c r="I24" s="81"/>
    </row>
    <row r="25" spans="2:12" s="82" customFormat="1" ht="13.9" x14ac:dyDescent="0.3">
      <c r="B25" s="159"/>
      <c r="C25" s="135"/>
      <c r="D25" s="136"/>
      <c r="E25" s="137"/>
      <c r="F25" s="133"/>
      <c r="G25" s="138">
        <f>E25*F25</f>
        <v>0</v>
      </c>
      <c r="H25" s="306">
        <f t="shared" si="0"/>
        <v>0</v>
      </c>
      <c r="I25" s="81"/>
    </row>
    <row r="26" spans="2:12" s="82" customFormat="1" ht="13.9" x14ac:dyDescent="0.3">
      <c r="B26" s="163"/>
      <c r="C26" s="142" t="s">
        <v>99</v>
      </c>
      <c r="D26" s="143"/>
      <c r="E26" s="144"/>
      <c r="F26" s="145"/>
      <c r="G26" s="144"/>
      <c r="H26" s="309"/>
      <c r="I26" s="81"/>
    </row>
    <row r="27" spans="2:12" s="69" customFormat="1" ht="25.5" x14ac:dyDescent="0.2">
      <c r="B27" s="159" t="s">
        <v>26</v>
      </c>
      <c r="C27" s="135" t="s">
        <v>44</v>
      </c>
      <c r="D27" s="136" t="s">
        <v>18</v>
      </c>
      <c r="E27" s="137" t="s">
        <v>26</v>
      </c>
      <c r="F27" s="133" t="s">
        <v>26</v>
      </c>
      <c r="G27" s="133" t="s">
        <v>26</v>
      </c>
      <c r="H27" s="306">
        <v>12548.21</v>
      </c>
      <c r="I27" s="71" t="s">
        <v>35</v>
      </c>
    </row>
    <row r="28" spans="2:12" s="69" customFormat="1" ht="13.9" x14ac:dyDescent="0.3">
      <c r="B28" s="159" t="s">
        <v>26</v>
      </c>
      <c r="C28" s="135" t="s">
        <v>46</v>
      </c>
      <c r="D28" s="136" t="s">
        <v>17</v>
      </c>
      <c r="E28" s="199">
        <v>202.67</v>
      </c>
      <c r="F28" s="136">
        <v>400</v>
      </c>
      <c r="G28" s="200">
        <f>E28*F28</f>
        <v>81068</v>
      </c>
      <c r="H28" s="308">
        <f>G28*1.23</f>
        <v>99713.64</v>
      </c>
    </row>
    <row r="29" spans="2:12" s="69" customFormat="1" ht="13.9" x14ac:dyDescent="0.3">
      <c r="B29" s="214"/>
      <c r="C29" s="202" t="s">
        <v>93</v>
      </c>
      <c r="D29" s="203"/>
      <c r="E29" s="203"/>
      <c r="F29" s="203"/>
      <c r="G29" s="203"/>
      <c r="H29" s="310"/>
    </row>
    <row r="30" spans="2:12" s="69" customFormat="1" ht="12.75" x14ac:dyDescent="0.2">
      <c r="B30" s="214"/>
      <c r="C30" s="147" t="s">
        <v>102</v>
      </c>
      <c r="D30" s="136" t="s">
        <v>17</v>
      </c>
      <c r="E30" s="204">
        <v>55</v>
      </c>
      <c r="F30" s="204">
        <v>250</v>
      </c>
      <c r="G30" s="138">
        <f>E30*F30</f>
        <v>13750</v>
      </c>
      <c r="H30" s="306">
        <f>G30*1.23</f>
        <v>16912.5</v>
      </c>
    </row>
    <row r="31" spans="2:12" s="70" customFormat="1" ht="14.45" x14ac:dyDescent="0.3">
      <c r="B31" s="125"/>
      <c r="C31" s="218" t="s">
        <v>114</v>
      </c>
      <c r="D31" s="219" t="s">
        <v>17</v>
      </c>
      <c r="E31" s="220">
        <v>20</v>
      </c>
      <c r="F31" s="221">
        <v>250</v>
      </c>
      <c r="G31" s="175">
        <f>E31*F31</f>
        <v>5000</v>
      </c>
      <c r="H31" s="311">
        <f>G31*1.23</f>
        <v>6150</v>
      </c>
      <c r="J31" s="6"/>
    </row>
    <row r="32" spans="2:12" s="69" customFormat="1" x14ac:dyDescent="0.25">
      <c r="B32" s="214"/>
      <c r="C32" s="90" t="s">
        <v>110</v>
      </c>
      <c r="D32" s="136" t="s">
        <v>17</v>
      </c>
      <c r="E32" s="206">
        <f>10.5+11.7+6.9+2.2+3.5+4</f>
        <v>38.799999999999997</v>
      </c>
      <c r="F32" s="207">
        <v>150</v>
      </c>
      <c r="G32" s="138">
        <f>E32*F32</f>
        <v>5820</v>
      </c>
      <c r="H32" s="306">
        <f>G32*1.23</f>
        <v>7158.5999999999995</v>
      </c>
    </row>
    <row r="33" spans="2:10" s="69" customFormat="1" x14ac:dyDescent="0.25">
      <c r="B33" s="214"/>
      <c r="C33" s="90" t="s">
        <v>177</v>
      </c>
      <c r="D33" s="136" t="s">
        <v>17</v>
      </c>
      <c r="E33" s="206">
        <v>40</v>
      </c>
      <c r="F33" s="207">
        <v>100</v>
      </c>
      <c r="G33" s="138">
        <f>E33*F33</f>
        <v>4000</v>
      </c>
      <c r="H33" s="306">
        <f>G33*1.23</f>
        <v>4920</v>
      </c>
    </row>
    <row r="34" spans="2:10" s="69" customFormat="1" x14ac:dyDescent="0.25">
      <c r="B34" s="214"/>
      <c r="C34" s="90" t="s">
        <v>111</v>
      </c>
      <c r="D34" s="136" t="s">
        <v>17</v>
      </c>
      <c r="E34" s="206">
        <f>201+60</f>
        <v>261</v>
      </c>
      <c r="F34" s="207">
        <v>50</v>
      </c>
      <c r="G34" s="138">
        <f>E34*F34</f>
        <v>13050</v>
      </c>
      <c r="H34" s="306">
        <f>G34*1.23</f>
        <v>16051.5</v>
      </c>
    </row>
    <row r="35" spans="2:10" s="69" customFormat="1" ht="27.6" x14ac:dyDescent="0.3">
      <c r="B35" s="159" t="s">
        <v>26</v>
      </c>
      <c r="C35" s="135" t="s">
        <v>172</v>
      </c>
      <c r="D35" s="136" t="s">
        <v>18</v>
      </c>
      <c r="E35" s="137" t="s">
        <v>26</v>
      </c>
      <c r="F35" s="133" t="s">
        <v>26</v>
      </c>
      <c r="G35" s="133" t="s">
        <v>26</v>
      </c>
      <c r="H35" s="306">
        <v>18450</v>
      </c>
      <c r="I35" s="1" t="s">
        <v>35</v>
      </c>
    </row>
    <row r="36" spans="2:10" s="69" customFormat="1" ht="38.25" x14ac:dyDescent="0.2">
      <c r="B36" s="159" t="s">
        <v>26</v>
      </c>
      <c r="C36" s="135" t="s">
        <v>171</v>
      </c>
      <c r="D36" s="136" t="s">
        <v>18</v>
      </c>
      <c r="E36" s="137" t="s">
        <v>26</v>
      </c>
      <c r="F36" s="133" t="s">
        <v>26</v>
      </c>
      <c r="G36" s="138">
        <v>20000</v>
      </c>
      <c r="H36" s="306">
        <f>G36*1.23</f>
        <v>24600</v>
      </c>
      <c r="I36" s="1"/>
    </row>
    <row r="37" spans="2:10" s="69" customFormat="1" ht="12.75" x14ac:dyDescent="0.2">
      <c r="B37" s="159" t="s">
        <v>26</v>
      </c>
      <c r="C37" s="135" t="s">
        <v>68</v>
      </c>
      <c r="D37" s="136" t="s">
        <v>18</v>
      </c>
      <c r="E37" s="137"/>
      <c r="F37" s="133"/>
      <c r="G37" s="138">
        <v>20000</v>
      </c>
      <c r="H37" s="306">
        <f>G37*1.23</f>
        <v>24600</v>
      </c>
      <c r="I37" s="1"/>
    </row>
    <row r="38" spans="2:10" s="69" customFormat="1" ht="12.75" x14ac:dyDescent="0.2">
      <c r="B38" s="159"/>
      <c r="C38" s="135" t="s">
        <v>173</v>
      </c>
      <c r="D38" s="136" t="s">
        <v>17</v>
      </c>
      <c r="E38" s="137">
        <v>5</v>
      </c>
      <c r="F38" s="133">
        <v>1500</v>
      </c>
      <c r="G38" s="138">
        <f>E38*F38</f>
        <v>7500</v>
      </c>
      <c r="H38" s="306">
        <f>G38*1.23</f>
        <v>9225</v>
      </c>
      <c r="I38" s="1"/>
    </row>
    <row r="39" spans="2:10" s="70" customFormat="1" x14ac:dyDescent="0.25">
      <c r="B39" s="125"/>
      <c r="C39" s="90" t="s">
        <v>113</v>
      </c>
      <c r="D39" s="90" t="s">
        <v>17</v>
      </c>
      <c r="E39" s="208">
        <f>8.8+12.43+8.35+13.7+2+2</f>
        <v>47.28</v>
      </c>
      <c r="F39" s="91">
        <v>100</v>
      </c>
      <c r="G39" s="138">
        <f>E39*F39</f>
        <v>4728</v>
      </c>
      <c r="H39" s="306">
        <f>G39*1.23</f>
        <v>5815.44</v>
      </c>
      <c r="I39" s="6"/>
    </row>
    <row r="40" spans="2:10" ht="14.45" x14ac:dyDescent="0.3">
      <c r="B40" s="125"/>
      <c r="C40" s="205"/>
      <c r="D40" s="90"/>
      <c r="E40" s="92"/>
      <c r="F40" s="90"/>
      <c r="G40" s="138">
        <f>E40*F40</f>
        <v>0</v>
      </c>
      <c r="H40" s="306">
        <f>G40*1.23</f>
        <v>0</v>
      </c>
    </row>
    <row r="41" spans="2:10" ht="14.45" x14ac:dyDescent="0.3">
      <c r="B41" s="125"/>
      <c r="C41" s="209" t="s">
        <v>116</v>
      </c>
      <c r="D41" s="210"/>
      <c r="E41" s="211"/>
      <c r="F41" s="210"/>
      <c r="G41" s="210"/>
      <c r="H41" s="312"/>
    </row>
    <row r="42" spans="2:10" x14ac:dyDescent="0.25">
      <c r="B42" s="125"/>
      <c r="C42" s="90" t="s">
        <v>118</v>
      </c>
      <c r="D42" s="90" t="s">
        <v>18</v>
      </c>
      <c r="E42" s="92">
        <v>1</v>
      </c>
      <c r="F42" s="90">
        <v>5000</v>
      </c>
      <c r="G42" s="138">
        <f>E42*F42</f>
        <v>5000</v>
      </c>
      <c r="H42" s="306">
        <f t="shared" ref="H42:H47" si="1">G42*1.23</f>
        <v>6150</v>
      </c>
    </row>
    <row r="43" spans="2:10" x14ac:dyDescent="0.25">
      <c r="B43" s="125"/>
      <c r="C43" s="90" t="s">
        <v>119</v>
      </c>
      <c r="D43" s="90" t="s">
        <v>17</v>
      </c>
      <c r="E43" s="92">
        <f>270+97</f>
        <v>367</v>
      </c>
      <c r="F43" s="90">
        <v>50</v>
      </c>
      <c r="G43" s="138">
        <f>E43*F43</f>
        <v>18350</v>
      </c>
      <c r="H43" s="306">
        <f t="shared" si="1"/>
        <v>22570.5</v>
      </c>
    </row>
    <row r="44" spans="2:10" x14ac:dyDescent="0.25">
      <c r="B44" s="125"/>
      <c r="C44" s="90" t="s">
        <v>174</v>
      </c>
      <c r="D44" s="90"/>
      <c r="E44" s="92">
        <v>1</v>
      </c>
      <c r="F44" s="90">
        <v>15000</v>
      </c>
      <c r="G44" s="138">
        <f>E44*F44</f>
        <v>15000</v>
      </c>
      <c r="H44" s="306">
        <f t="shared" si="1"/>
        <v>18450</v>
      </c>
    </row>
    <row r="45" spans="2:10" ht="14.45" x14ac:dyDescent="0.3">
      <c r="B45" s="125"/>
      <c r="C45" s="90" t="s">
        <v>120</v>
      </c>
      <c r="D45" s="90" t="s">
        <v>17</v>
      </c>
      <c r="E45" s="92">
        <v>90</v>
      </c>
      <c r="F45" s="90">
        <v>150</v>
      </c>
      <c r="G45" s="138">
        <f>E45*F45</f>
        <v>13500</v>
      </c>
      <c r="H45" s="306">
        <f t="shared" si="1"/>
        <v>16605</v>
      </c>
    </row>
    <row r="46" spans="2:10" s="70" customFormat="1" x14ac:dyDescent="0.25">
      <c r="B46" s="125"/>
      <c r="C46" s="90" t="s">
        <v>122</v>
      </c>
      <c r="D46" s="90" t="s">
        <v>17</v>
      </c>
      <c r="E46" s="92">
        <f>56+112</f>
        <v>168</v>
      </c>
      <c r="F46" s="90">
        <v>200</v>
      </c>
      <c r="G46" s="138">
        <f>E46*F46</f>
        <v>33600</v>
      </c>
      <c r="H46" s="306">
        <f t="shared" si="1"/>
        <v>41328</v>
      </c>
      <c r="I46" s="6"/>
      <c r="J46" s="6"/>
    </row>
    <row r="47" spans="2:10" ht="38.25" x14ac:dyDescent="0.25">
      <c r="B47" s="125"/>
      <c r="C47" s="135" t="s">
        <v>47</v>
      </c>
      <c r="D47" s="136" t="s">
        <v>18</v>
      </c>
      <c r="E47" s="137" t="s">
        <v>26</v>
      </c>
      <c r="F47" s="133" t="s">
        <v>26</v>
      </c>
      <c r="G47" s="138">
        <v>10000</v>
      </c>
      <c r="H47" s="306">
        <f t="shared" si="1"/>
        <v>12300</v>
      </c>
    </row>
    <row r="48" spans="2:10" ht="14.45" x14ac:dyDescent="0.3">
      <c r="B48" s="214"/>
      <c r="C48" s="202" t="s">
        <v>123</v>
      </c>
      <c r="D48" s="203"/>
      <c r="E48" s="203"/>
      <c r="F48" s="210"/>
      <c r="G48" s="210"/>
      <c r="H48" s="312"/>
    </row>
    <row r="49" spans="2:11" x14ac:dyDescent="0.25">
      <c r="B49" s="125"/>
      <c r="C49" s="212" t="s">
        <v>121</v>
      </c>
      <c r="D49" s="90" t="s">
        <v>17</v>
      </c>
      <c r="E49" s="92">
        <f>97+280</f>
        <v>377</v>
      </c>
      <c r="F49" s="90">
        <v>50</v>
      </c>
      <c r="G49" s="138">
        <f>E49*F49</f>
        <v>18850</v>
      </c>
      <c r="H49" s="306">
        <f>G49*1.23</f>
        <v>23185.5</v>
      </c>
    </row>
    <row r="50" spans="2:11" ht="14.45" x14ac:dyDescent="0.3">
      <c r="B50" s="125"/>
      <c r="C50" s="90" t="s">
        <v>120</v>
      </c>
      <c r="D50" s="90" t="s">
        <v>17</v>
      </c>
      <c r="E50" s="92">
        <v>98</v>
      </c>
      <c r="F50" s="90">
        <v>150</v>
      </c>
      <c r="G50" s="138">
        <f>E50*F50</f>
        <v>14700</v>
      </c>
      <c r="H50" s="306">
        <f>G50*1.23</f>
        <v>18081</v>
      </c>
    </row>
    <row r="51" spans="2:11" s="70" customFormat="1" x14ac:dyDescent="0.25">
      <c r="B51" s="125"/>
      <c r="C51" s="90" t="s">
        <v>176</v>
      </c>
      <c r="D51" s="90" t="s">
        <v>17</v>
      </c>
      <c r="E51" s="92">
        <v>1</v>
      </c>
      <c r="F51" s="90">
        <v>25000</v>
      </c>
      <c r="G51" s="138">
        <v>15000</v>
      </c>
      <c r="H51" s="306">
        <f>G51*1.23</f>
        <v>18450</v>
      </c>
      <c r="I51" s="6"/>
    </row>
    <row r="52" spans="2:11" x14ac:dyDescent="0.25">
      <c r="B52" s="125"/>
      <c r="C52" s="209" t="s">
        <v>175</v>
      </c>
      <c r="D52" s="210"/>
      <c r="E52" s="211"/>
      <c r="F52" s="210"/>
      <c r="G52" s="210"/>
      <c r="H52" s="312"/>
    </row>
    <row r="53" spans="2:11" ht="14.45" x14ac:dyDescent="0.3">
      <c r="B53" s="125"/>
      <c r="C53" s="90"/>
      <c r="D53" s="90"/>
      <c r="E53" s="92"/>
      <c r="F53" s="90"/>
      <c r="G53" s="90"/>
      <c r="H53" s="313"/>
    </row>
    <row r="54" spans="2:11" ht="14.45" x14ac:dyDescent="0.3">
      <c r="B54" s="125"/>
      <c r="C54" s="90" t="s">
        <v>115</v>
      </c>
      <c r="D54" s="90" t="s">
        <v>17</v>
      </c>
      <c r="E54" s="92">
        <f>(3.5+3.5+4.15)*10</f>
        <v>111.5</v>
      </c>
      <c r="F54" s="90">
        <v>50</v>
      </c>
      <c r="G54" s="314">
        <f>H54/1.23</f>
        <v>5575.0081300813008</v>
      </c>
      <c r="H54" s="306">
        <v>6857.26</v>
      </c>
    </row>
    <row r="55" spans="2:11" ht="14.45" x14ac:dyDescent="0.3">
      <c r="B55" s="125"/>
      <c r="C55" s="90" t="s">
        <v>117</v>
      </c>
      <c r="D55" s="90" t="s">
        <v>19</v>
      </c>
      <c r="E55" s="92">
        <v>1</v>
      </c>
      <c r="F55" s="90">
        <v>5000</v>
      </c>
      <c r="G55" s="138">
        <f>E55*F55</f>
        <v>5000</v>
      </c>
      <c r="H55" s="306">
        <f>G55*1.23</f>
        <v>6150</v>
      </c>
    </row>
    <row r="56" spans="2:11" x14ac:dyDescent="0.25">
      <c r="B56" s="125"/>
      <c r="C56" s="90" t="s">
        <v>182</v>
      </c>
      <c r="D56" s="90" t="s">
        <v>18</v>
      </c>
      <c r="E56" s="92">
        <v>1</v>
      </c>
      <c r="F56" s="90">
        <v>20000</v>
      </c>
      <c r="G56" s="138">
        <v>15000</v>
      </c>
      <c r="H56" s="306">
        <f>G56*1.23</f>
        <v>18450</v>
      </c>
    </row>
    <row r="57" spans="2:11" ht="14.45" x14ac:dyDescent="0.3">
      <c r="B57" s="125"/>
      <c r="C57" s="90" t="s">
        <v>179</v>
      </c>
      <c r="D57" s="90" t="s">
        <v>18</v>
      </c>
      <c r="E57" s="92">
        <v>1</v>
      </c>
      <c r="F57" s="90">
        <v>5000</v>
      </c>
      <c r="G57" s="138">
        <f>E57*F57</f>
        <v>5000</v>
      </c>
      <c r="H57" s="306">
        <f>G57*1.23</f>
        <v>6150</v>
      </c>
    </row>
    <row r="58" spans="2:11" thickBot="1" x14ac:dyDescent="0.35">
      <c r="B58" s="125"/>
      <c r="C58" s="90"/>
      <c r="D58" s="90"/>
      <c r="E58" s="92"/>
      <c r="F58" s="90"/>
      <c r="G58" s="90"/>
      <c r="H58" s="83">
        <f>SUM(H6:H57)</f>
        <v>967353.33543999994</v>
      </c>
      <c r="J58" s="86">
        <f>H58/1.23</f>
        <v>786466.12637398369</v>
      </c>
    </row>
    <row r="59" spans="2:11" s="70" customFormat="1" ht="14.45" x14ac:dyDescent="0.3">
      <c r="J59" s="120"/>
      <c r="K59" s="120"/>
    </row>
    <row r="60" spans="2:11" ht="14.45" x14ac:dyDescent="0.3">
      <c r="B60" s="125"/>
      <c r="C60" s="209" t="s">
        <v>101</v>
      </c>
      <c r="D60" s="210"/>
      <c r="E60" s="211"/>
      <c r="F60" s="210"/>
      <c r="G60" s="210"/>
      <c r="H60" s="215"/>
    </row>
    <row r="61" spans="2:11" ht="14.45" x14ac:dyDescent="0.3">
      <c r="B61" s="250"/>
      <c r="C61" s="218" t="s">
        <v>108</v>
      </c>
      <c r="D61" s="218" t="s">
        <v>17</v>
      </c>
      <c r="E61" s="218">
        <v>58</v>
      </c>
      <c r="F61" s="218">
        <v>300</v>
      </c>
      <c r="G61" s="175">
        <f t="shared" ref="G61:G68" si="2">E61*F61</f>
        <v>17400</v>
      </c>
      <c r="H61" s="176">
        <f t="shared" ref="H61:H68" si="3">G61*1.23</f>
        <v>21402</v>
      </c>
    </row>
    <row r="62" spans="2:11" x14ac:dyDescent="0.25">
      <c r="B62" s="250"/>
      <c r="C62" s="218" t="s">
        <v>104</v>
      </c>
      <c r="D62" s="218" t="s">
        <v>17</v>
      </c>
      <c r="E62" s="218">
        <f>58+250</f>
        <v>308</v>
      </c>
      <c r="F62" s="218">
        <v>80</v>
      </c>
      <c r="G62" s="175">
        <f t="shared" si="2"/>
        <v>24640</v>
      </c>
      <c r="H62" s="176">
        <f t="shared" si="3"/>
        <v>30307.200000000001</v>
      </c>
    </row>
    <row r="63" spans="2:11" x14ac:dyDescent="0.25">
      <c r="B63" s="250"/>
      <c r="C63" s="218" t="s">
        <v>109</v>
      </c>
      <c r="D63" s="218" t="s">
        <v>17</v>
      </c>
      <c r="E63" s="218">
        <v>45</v>
      </c>
      <c r="F63" s="218">
        <v>250</v>
      </c>
      <c r="G63" s="175">
        <f t="shared" si="2"/>
        <v>11250</v>
      </c>
      <c r="H63" s="176">
        <f t="shared" si="3"/>
        <v>13837.5</v>
      </c>
    </row>
    <row r="64" spans="2:11" x14ac:dyDescent="0.25">
      <c r="B64" s="250"/>
      <c r="C64" s="218" t="s">
        <v>103</v>
      </c>
      <c r="D64" s="218" t="s">
        <v>17</v>
      </c>
      <c r="E64" s="218">
        <f>29+45</f>
        <v>74</v>
      </c>
      <c r="F64" s="218">
        <v>100</v>
      </c>
      <c r="G64" s="175">
        <f t="shared" si="2"/>
        <v>7400</v>
      </c>
      <c r="H64" s="176">
        <f t="shared" si="3"/>
        <v>9102</v>
      </c>
    </row>
    <row r="65" spans="2:13" x14ac:dyDescent="0.25">
      <c r="B65" s="250"/>
      <c r="C65" s="218" t="s">
        <v>105</v>
      </c>
      <c r="D65" s="218"/>
      <c r="E65" s="218">
        <v>1</v>
      </c>
      <c r="F65" s="218">
        <v>10000</v>
      </c>
      <c r="G65" s="175">
        <f t="shared" si="2"/>
        <v>10000</v>
      </c>
      <c r="H65" s="176">
        <f t="shared" si="3"/>
        <v>12300</v>
      </c>
    </row>
    <row r="66" spans="2:13" ht="14.45" x14ac:dyDescent="0.3">
      <c r="B66" s="250"/>
      <c r="C66" s="218" t="s">
        <v>106</v>
      </c>
      <c r="D66" s="218"/>
      <c r="E66" s="218">
        <v>1</v>
      </c>
      <c r="F66" s="218">
        <v>10000</v>
      </c>
      <c r="G66" s="175">
        <f t="shared" si="2"/>
        <v>10000</v>
      </c>
      <c r="H66" s="176">
        <f t="shared" si="3"/>
        <v>12300</v>
      </c>
    </row>
    <row r="67" spans="2:13" ht="14.45" x14ac:dyDescent="0.3">
      <c r="B67" s="250"/>
      <c r="C67" s="218" t="s">
        <v>107</v>
      </c>
      <c r="D67" s="218"/>
      <c r="E67" s="218">
        <v>1</v>
      </c>
      <c r="F67" s="302">
        <f>G67</f>
        <v>19245.609756097561</v>
      </c>
      <c r="G67" s="175">
        <f>H67/1.23</f>
        <v>19245.609756097561</v>
      </c>
      <c r="H67" s="176">
        <f>24600-927.9</f>
        <v>23672.1</v>
      </c>
    </row>
    <row r="68" spans="2:13" ht="15.75" thickBot="1" x14ac:dyDescent="0.3">
      <c r="B68" s="251"/>
      <c r="C68" s="303" t="s">
        <v>112</v>
      </c>
      <c r="D68" s="303" t="s">
        <v>17</v>
      </c>
      <c r="E68" s="303">
        <v>20</v>
      </c>
      <c r="F68" s="303">
        <v>800</v>
      </c>
      <c r="G68" s="304">
        <f t="shared" si="2"/>
        <v>16000</v>
      </c>
      <c r="H68" s="305">
        <f t="shared" si="3"/>
        <v>19680</v>
      </c>
    </row>
    <row r="69" spans="2:13" thickBot="1" x14ac:dyDescent="0.35">
      <c r="H69" s="84">
        <v>142600.79999999999</v>
      </c>
      <c r="I69" s="254"/>
      <c r="J69" s="86"/>
      <c r="L69" s="86"/>
    </row>
    <row r="70" spans="2:13" ht="14.45" x14ac:dyDescent="0.3">
      <c r="H70" s="6"/>
    </row>
    <row r="71" spans="2:13" thickBot="1" x14ac:dyDescent="0.35">
      <c r="C71" s="104" t="s">
        <v>228</v>
      </c>
      <c r="D71" s="102"/>
      <c r="E71" s="103"/>
      <c r="F71" s="102"/>
      <c r="G71" s="102"/>
      <c r="H71" s="106"/>
      <c r="J71">
        <v>142600.79999999999</v>
      </c>
      <c r="K71">
        <v>967353.32543999993</v>
      </c>
      <c r="M71" s="120">
        <f>K71+J71</f>
        <v>1109954.1254399999</v>
      </c>
    </row>
    <row r="72" spans="2:13" thickBot="1" x14ac:dyDescent="0.35">
      <c r="H72" s="84">
        <v>0</v>
      </c>
    </row>
    <row r="74" spans="2:13" ht="15.75" thickBot="1" x14ac:dyDescent="0.3">
      <c r="C74" s="104" t="s">
        <v>215</v>
      </c>
      <c r="D74" s="104"/>
      <c r="E74" s="105"/>
      <c r="F74" s="104"/>
      <c r="G74" s="104"/>
      <c r="H74" s="104"/>
    </row>
    <row r="75" spans="2:13" x14ac:dyDescent="0.25">
      <c r="B75" s="110"/>
      <c r="C75" s="111" t="s">
        <v>215</v>
      </c>
      <c r="D75" s="112"/>
      <c r="E75" s="113"/>
      <c r="F75" s="112"/>
      <c r="G75" s="114">
        <f>'[1]Gorkiego 18'!G58</f>
        <v>0</v>
      </c>
      <c r="H75" s="115">
        <f>'[1]Gorkiego 18'!H58</f>
        <v>0</v>
      </c>
    </row>
    <row r="76" spans="2:13" ht="14.45" x14ac:dyDescent="0.3">
      <c r="B76" s="291">
        <v>1</v>
      </c>
      <c r="C76" s="292" t="s">
        <v>229</v>
      </c>
      <c r="D76" s="293"/>
      <c r="E76" s="293"/>
      <c r="F76" s="293"/>
      <c r="G76" s="294">
        <f>H76/1.23</f>
        <v>9756.0975609756097</v>
      </c>
      <c r="H76" s="295">
        <v>12000</v>
      </c>
    </row>
    <row r="77" spans="2:13" ht="45" x14ac:dyDescent="0.25">
      <c r="B77" s="291">
        <v>2</v>
      </c>
      <c r="C77" s="288" t="s">
        <v>299</v>
      </c>
      <c r="D77" s="293"/>
      <c r="E77" s="293"/>
      <c r="F77" s="293"/>
      <c r="G77" s="289">
        <f>H77/1.23</f>
        <v>42682.92682926829</v>
      </c>
      <c r="H77" s="290">
        <v>52500</v>
      </c>
    </row>
    <row r="78" spans="2:13" x14ac:dyDescent="0.25">
      <c r="B78" s="291">
        <v>3</v>
      </c>
      <c r="C78" s="292" t="s">
        <v>230</v>
      </c>
      <c r="D78" s="293"/>
      <c r="E78" s="293"/>
      <c r="F78" s="293"/>
      <c r="G78" s="294">
        <f>H78/1.23</f>
        <v>2439.0243902439024</v>
      </c>
      <c r="H78" s="295">
        <v>3000</v>
      </c>
    </row>
    <row r="79" spans="2:13" ht="15.75" thickBot="1" x14ac:dyDescent="0.3">
      <c r="B79" s="296">
        <v>4</v>
      </c>
      <c r="C79" s="297" t="s">
        <v>231</v>
      </c>
      <c r="D79" s="298"/>
      <c r="E79" s="298"/>
      <c r="F79" s="298"/>
      <c r="G79" s="299">
        <f>H79/1.23</f>
        <v>10162.60162601626</v>
      </c>
      <c r="H79" s="300">
        <v>12500</v>
      </c>
    </row>
    <row r="80" spans="2:13" ht="15.75" thickBot="1" x14ac:dyDescent="0.3">
      <c r="B80" s="70"/>
      <c r="C80" s="70"/>
      <c r="D80" s="70"/>
      <c r="F80" s="70"/>
      <c r="G80" s="117"/>
      <c r="H80" s="118">
        <f>SUM(H75:H79)</f>
        <v>80000</v>
      </c>
      <c r="J80" s="11"/>
    </row>
    <row r="82" spans="7:7" x14ac:dyDescent="0.25">
      <c r="G82" s="254"/>
    </row>
  </sheetData>
  <mergeCells count="2">
    <mergeCell ref="B4:C4"/>
    <mergeCell ref="B2:C2"/>
  </mergeCells>
  <pageMargins left="0.7" right="0.7" top="0.75" bottom="0.75" header="0.3" footer="0.3"/>
  <pageSetup paperSize="9" scale="57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view="pageBreakPreview" zoomScale="60" zoomScaleNormal="100" workbookViewId="0">
      <pane ySplit="4" topLeftCell="A44" activePane="bottomLeft" state="frozen"/>
      <selection pane="bottomLeft" activeCell="H68" sqref="H68"/>
    </sheetView>
  </sheetViews>
  <sheetFormatPr defaultRowHeight="15" x14ac:dyDescent="0.25"/>
  <cols>
    <col min="1" max="1" width="9.140625" style="70"/>
    <col min="2" max="2" width="1.85546875" style="72" customWidth="1"/>
    <col min="3" max="3" width="65" bestFit="1" customWidth="1"/>
    <col min="4" max="4" width="13.140625" customWidth="1"/>
    <col min="5" max="5" width="13.140625" style="95" customWidth="1"/>
    <col min="6" max="6" width="13.140625" customWidth="1"/>
    <col min="7" max="8" width="14.140625" bestFit="1" customWidth="1"/>
    <col min="9" max="9" width="13.140625" customWidth="1"/>
  </cols>
  <sheetData>
    <row r="1" spans="2:9" s="70" customFormat="1" ht="14.45" x14ac:dyDescent="0.3">
      <c r="B1" s="72"/>
      <c r="E1" s="95"/>
    </row>
    <row r="2" spans="2:9" x14ac:dyDescent="0.25">
      <c r="B2" s="352" t="s">
        <v>31</v>
      </c>
      <c r="C2" s="352"/>
    </row>
    <row r="4" spans="2:9" s="69" customFormat="1" ht="26.25" thickBot="1" x14ac:dyDescent="0.25">
      <c r="B4" s="353" t="s">
        <v>0</v>
      </c>
      <c r="C4" s="354"/>
      <c r="D4" s="97" t="s">
        <v>1</v>
      </c>
      <c r="E4" s="98" t="s">
        <v>2</v>
      </c>
      <c r="F4" s="97" t="s">
        <v>3</v>
      </c>
      <c r="G4" s="97" t="s">
        <v>4</v>
      </c>
      <c r="H4" s="99" t="s">
        <v>5</v>
      </c>
      <c r="I4" s="1"/>
    </row>
    <row r="5" spans="2:9" s="69" customFormat="1" ht="13.9" x14ac:dyDescent="0.3">
      <c r="B5" s="187"/>
      <c r="C5" s="156" t="s">
        <v>92</v>
      </c>
      <c r="D5" s="188"/>
      <c r="E5" s="189"/>
      <c r="F5" s="188"/>
      <c r="G5" s="188"/>
      <c r="H5" s="190"/>
      <c r="I5" s="1"/>
    </row>
    <row r="6" spans="2:9" s="69" customFormat="1" ht="25.5" x14ac:dyDescent="0.2">
      <c r="B6" s="191"/>
      <c r="C6" s="135" t="s">
        <v>62</v>
      </c>
      <c r="D6" s="178" t="s">
        <v>18</v>
      </c>
      <c r="E6" s="179" t="s">
        <v>26</v>
      </c>
      <c r="F6" s="138" t="s">
        <v>26</v>
      </c>
      <c r="G6" s="180" t="s">
        <v>26</v>
      </c>
      <c r="H6" s="160">
        <v>48020.74</v>
      </c>
      <c r="I6" s="71" t="s">
        <v>35</v>
      </c>
    </row>
    <row r="7" spans="2:9" s="69" customFormat="1" ht="12.75" x14ac:dyDescent="0.2">
      <c r="B7" s="191"/>
      <c r="C7" s="135" t="s">
        <v>184</v>
      </c>
      <c r="D7" s="178" t="s">
        <v>17</v>
      </c>
      <c r="E7" s="179">
        <v>180</v>
      </c>
      <c r="F7" s="138">
        <v>200</v>
      </c>
      <c r="G7" s="138">
        <f>E7*F7</f>
        <v>36000</v>
      </c>
      <c r="H7" s="160">
        <f t="shared" ref="H7:H12" si="0">G7*1.23</f>
        <v>44280</v>
      </c>
      <c r="I7" s="71"/>
    </row>
    <row r="8" spans="2:9" s="69" customFormat="1" ht="13.9" x14ac:dyDescent="0.3">
      <c r="B8" s="191"/>
      <c r="C8" s="135" t="s">
        <v>186</v>
      </c>
      <c r="D8" s="178" t="s">
        <v>19</v>
      </c>
      <c r="E8" s="179">
        <v>80</v>
      </c>
      <c r="F8" s="138">
        <v>140</v>
      </c>
      <c r="G8" s="138">
        <f>E8*F8</f>
        <v>11200</v>
      </c>
      <c r="H8" s="160">
        <f t="shared" si="0"/>
        <v>13776</v>
      </c>
      <c r="I8" s="71"/>
    </row>
    <row r="9" spans="2:9" s="69" customFormat="1" ht="12.75" x14ac:dyDescent="0.2">
      <c r="B9" s="191"/>
      <c r="C9" s="135" t="s">
        <v>34</v>
      </c>
      <c r="D9" s="178" t="s">
        <v>19</v>
      </c>
      <c r="E9" s="179">
        <v>100</v>
      </c>
      <c r="F9" s="138">
        <v>400</v>
      </c>
      <c r="G9" s="138">
        <f>E9*F9</f>
        <v>40000</v>
      </c>
      <c r="H9" s="160">
        <f t="shared" si="0"/>
        <v>49200</v>
      </c>
      <c r="I9" s="71"/>
    </row>
    <row r="10" spans="2:9" s="69" customFormat="1" ht="13.9" x14ac:dyDescent="0.3">
      <c r="B10" s="191"/>
      <c r="C10" s="135" t="s">
        <v>67</v>
      </c>
      <c r="D10" s="178" t="s">
        <v>17</v>
      </c>
      <c r="E10" s="179">
        <v>80</v>
      </c>
      <c r="F10" s="138">
        <v>120</v>
      </c>
      <c r="G10" s="138">
        <f>E10*F10</f>
        <v>9600</v>
      </c>
      <c r="H10" s="160">
        <f t="shared" si="0"/>
        <v>11808</v>
      </c>
      <c r="I10" s="71"/>
    </row>
    <row r="11" spans="2:9" s="69" customFormat="1" ht="38.25" x14ac:dyDescent="0.2">
      <c r="B11" s="191"/>
      <c r="C11" s="135" t="s">
        <v>211</v>
      </c>
      <c r="D11" s="178" t="s">
        <v>18</v>
      </c>
      <c r="E11" s="179" t="s">
        <v>26</v>
      </c>
      <c r="F11" s="138" t="s">
        <v>26</v>
      </c>
      <c r="G11" s="138">
        <v>10000</v>
      </c>
      <c r="H11" s="160">
        <f t="shared" si="0"/>
        <v>12300</v>
      </c>
    </row>
    <row r="12" spans="2:9" s="69" customFormat="1" ht="13.9" x14ac:dyDescent="0.3">
      <c r="B12" s="191"/>
      <c r="C12" s="135" t="s">
        <v>153</v>
      </c>
      <c r="D12" s="178" t="s">
        <v>89</v>
      </c>
      <c r="E12" s="179">
        <v>1</v>
      </c>
      <c r="F12" s="138">
        <v>8000</v>
      </c>
      <c r="G12" s="138">
        <f>E12*F12</f>
        <v>8000</v>
      </c>
      <c r="H12" s="160">
        <f t="shared" si="0"/>
        <v>9840</v>
      </c>
    </row>
    <row r="13" spans="2:9" s="69" customFormat="1" ht="25.5" x14ac:dyDescent="0.2">
      <c r="B13" s="191"/>
      <c r="C13" s="135" t="s">
        <v>66</v>
      </c>
      <c r="D13" s="178" t="s">
        <v>18</v>
      </c>
      <c r="E13" s="179" t="s">
        <v>26</v>
      </c>
      <c r="F13" s="138" t="s">
        <v>26</v>
      </c>
      <c r="G13" s="180" t="s">
        <v>26</v>
      </c>
      <c r="H13" s="160">
        <v>9314.2999999999993</v>
      </c>
      <c r="I13" s="71" t="s">
        <v>35</v>
      </c>
    </row>
    <row r="14" spans="2:9" s="69" customFormat="1" ht="12.75" x14ac:dyDescent="0.2">
      <c r="B14" s="191"/>
      <c r="C14" s="135" t="s">
        <v>135</v>
      </c>
      <c r="D14" s="178" t="s">
        <v>89</v>
      </c>
      <c r="E14" s="179">
        <v>1</v>
      </c>
      <c r="F14" s="138">
        <v>10000</v>
      </c>
      <c r="G14" s="138">
        <f>E14*F14</f>
        <v>10000</v>
      </c>
      <c r="H14" s="160">
        <f>G14*1.23</f>
        <v>12300</v>
      </c>
    </row>
    <row r="15" spans="2:9" s="69" customFormat="1" ht="13.9" x14ac:dyDescent="0.3">
      <c r="B15" s="191"/>
      <c r="C15" s="135" t="s">
        <v>185</v>
      </c>
      <c r="D15" s="178" t="s">
        <v>89</v>
      </c>
      <c r="E15" s="179">
        <v>1</v>
      </c>
      <c r="F15" s="138">
        <v>8000</v>
      </c>
      <c r="G15" s="138">
        <f>E15*F15</f>
        <v>8000</v>
      </c>
      <c r="H15" s="160">
        <f>G15*1.23</f>
        <v>9840</v>
      </c>
    </row>
    <row r="16" spans="2:9" s="69" customFormat="1" ht="13.9" x14ac:dyDescent="0.3">
      <c r="B16" s="191"/>
      <c r="C16" s="134" t="s">
        <v>99</v>
      </c>
      <c r="D16" s="143"/>
      <c r="E16" s="177"/>
      <c r="F16" s="143"/>
      <c r="G16" s="143"/>
      <c r="H16" s="192"/>
      <c r="I16" s="1"/>
    </row>
    <row r="17" spans="2:9" s="69" customFormat="1" ht="13.9" x14ac:dyDescent="0.3">
      <c r="B17" s="191"/>
      <c r="C17" s="135" t="s">
        <v>155</v>
      </c>
      <c r="D17" s="178" t="s">
        <v>17</v>
      </c>
      <c r="E17" s="179">
        <v>350</v>
      </c>
      <c r="F17" s="138">
        <v>400</v>
      </c>
      <c r="G17" s="138">
        <f t="shared" ref="G17:G22" si="1">E17*F17</f>
        <v>140000</v>
      </c>
      <c r="H17" s="160">
        <f t="shared" ref="H17:H22" si="2">G17*1.23</f>
        <v>172200</v>
      </c>
      <c r="I17" s="1"/>
    </row>
    <row r="18" spans="2:9" s="69" customFormat="1" ht="12.75" x14ac:dyDescent="0.2">
      <c r="B18" s="191"/>
      <c r="C18" s="135" t="s">
        <v>69</v>
      </c>
      <c r="D18" s="178" t="s">
        <v>17</v>
      </c>
      <c r="E18" s="179">
        <v>350</v>
      </c>
      <c r="F18" s="138">
        <v>120</v>
      </c>
      <c r="G18" s="138">
        <f t="shared" si="1"/>
        <v>42000</v>
      </c>
      <c r="H18" s="160">
        <f t="shared" si="2"/>
        <v>51660</v>
      </c>
      <c r="I18" s="1"/>
    </row>
    <row r="19" spans="2:9" s="69" customFormat="1" ht="13.9" x14ac:dyDescent="0.3">
      <c r="B19" s="191"/>
      <c r="C19" s="135" t="s">
        <v>156</v>
      </c>
      <c r="D19" s="178" t="s">
        <v>17</v>
      </c>
      <c r="E19" s="179">
        <f>E25*0.8</f>
        <v>28.8</v>
      </c>
      <c r="F19" s="138">
        <v>50</v>
      </c>
      <c r="G19" s="138">
        <f t="shared" si="1"/>
        <v>1440</v>
      </c>
      <c r="H19" s="160">
        <f t="shared" si="2"/>
        <v>1771.2</v>
      </c>
      <c r="I19" s="1"/>
    </row>
    <row r="20" spans="2:9" s="69" customFormat="1" ht="13.9" x14ac:dyDescent="0.3">
      <c r="B20" s="191"/>
      <c r="C20" s="135" t="s">
        <v>152</v>
      </c>
      <c r="D20" s="178" t="s">
        <v>89</v>
      </c>
      <c r="E20" s="179">
        <v>1</v>
      </c>
      <c r="F20" s="138">
        <v>5000</v>
      </c>
      <c r="G20" s="138">
        <f t="shared" si="1"/>
        <v>5000</v>
      </c>
      <c r="H20" s="160">
        <f t="shared" si="2"/>
        <v>6150</v>
      </c>
      <c r="I20" s="1"/>
    </row>
    <row r="21" spans="2:9" s="69" customFormat="1" ht="12.75" x14ac:dyDescent="0.2">
      <c r="B21" s="191"/>
      <c r="C21" s="135" t="s">
        <v>157</v>
      </c>
      <c r="D21" s="178" t="s">
        <v>89</v>
      </c>
      <c r="E21" s="179">
        <v>1</v>
      </c>
      <c r="F21" s="138">
        <v>8000</v>
      </c>
      <c r="G21" s="138">
        <f t="shared" si="1"/>
        <v>8000</v>
      </c>
      <c r="H21" s="160">
        <f t="shared" si="2"/>
        <v>9840</v>
      </c>
      <c r="I21" s="1"/>
    </row>
    <row r="22" spans="2:9" s="69" customFormat="1" ht="12.75" x14ac:dyDescent="0.2">
      <c r="B22" s="191"/>
      <c r="C22" s="135" t="s">
        <v>181</v>
      </c>
      <c r="D22" s="178" t="s">
        <v>89</v>
      </c>
      <c r="E22" s="179">
        <v>1</v>
      </c>
      <c r="F22" s="138">
        <v>5000</v>
      </c>
      <c r="G22" s="138">
        <f t="shared" si="1"/>
        <v>5000</v>
      </c>
      <c r="H22" s="160">
        <f t="shared" si="2"/>
        <v>6150</v>
      </c>
      <c r="I22" s="1"/>
    </row>
    <row r="23" spans="2:9" s="69" customFormat="1" ht="13.9" x14ac:dyDescent="0.3">
      <c r="B23" s="191"/>
      <c r="C23" s="134" t="s">
        <v>132</v>
      </c>
      <c r="D23" s="143"/>
      <c r="E23" s="177"/>
      <c r="F23" s="143"/>
      <c r="G23" s="143"/>
      <c r="H23" s="192"/>
      <c r="I23" s="1"/>
    </row>
    <row r="24" spans="2:9" s="69" customFormat="1" ht="12.75" x14ac:dyDescent="0.2">
      <c r="B24" s="191"/>
      <c r="C24" s="147" t="s">
        <v>187</v>
      </c>
      <c r="D24" s="147" t="s">
        <v>19</v>
      </c>
      <c r="E24" s="181">
        <v>100</v>
      </c>
      <c r="F24" s="138">
        <v>140</v>
      </c>
      <c r="G24" s="138">
        <f>E24*F24</f>
        <v>14000</v>
      </c>
      <c r="H24" s="160">
        <f>G24*1.23</f>
        <v>17220</v>
      </c>
    </row>
    <row r="25" spans="2:9" s="69" customFormat="1" ht="13.9" x14ac:dyDescent="0.3">
      <c r="B25" s="191"/>
      <c r="C25" s="135" t="s">
        <v>188</v>
      </c>
      <c r="D25" s="178" t="s">
        <v>19</v>
      </c>
      <c r="E25" s="181">
        <f>20*1.8</f>
        <v>36</v>
      </c>
      <c r="F25" s="138">
        <v>450</v>
      </c>
      <c r="G25" s="138">
        <f>E25*F25</f>
        <v>16200</v>
      </c>
      <c r="H25" s="160">
        <f>G25*1.23</f>
        <v>19926</v>
      </c>
    </row>
    <row r="26" spans="2:9" s="69" customFormat="1" ht="12.75" x14ac:dyDescent="0.2">
      <c r="B26" s="191"/>
      <c r="C26" s="135" t="s">
        <v>189</v>
      </c>
      <c r="D26" s="178" t="s">
        <v>17</v>
      </c>
      <c r="E26" s="179">
        <f>100*1.8</f>
        <v>180</v>
      </c>
      <c r="F26" s="138">
        <v>200</v>
      </c>
      <c r="G26" s="138">
        <f>E26*F26</f>
        <v>36000</v>
      </c>
      <c r="H26" s="160">
        <f>G26*1.23</f>
        <v>44280</v>
      </c>
      <c r="I26" s="1"/>
    </row>
    <row r="27" spans="2:9" s="69" customFormat="1" ht="12.75" x14ac:dyDescent="0.2">
      <c r="B27" s="191"/>
      <c r="C27" s="135" t="s">
        <v>196</v>
      </c>
      <c r="D27" s="178" t="s">
        <v>17</v>
      </c>
      <c r="E27" s="179">
        <f>250+2.4*100+0.6*100</f>
        <v>550</v>
      </c>
      <c r="F27" s="138">
        <v>70</v>
      </c>
      <c r="G27" s="138">
        <f>E27*F27</f>
        <v>38500</v>
      </c>
      <c r="H27" s="160">
        <f>G27*1.23</f>
        <v>47355</v>
      </c>
      <c r="I27" s="1"/>
    </row>
    <row r="28" spans="2:9" s="69" customFormat="1" ht="12.75" x14ac:dyDescent="0.2">
      <c r="B28" s="191"/>
      <c r="C28" s="135" t="s">
        <v>183</v>
      </c>
      <c r="D28" s="178" t="s">
        <v>17</v>
      </c>
      <c r="E28" s="179">
        <v>239.44</v>
      </c>
      <c r="F28" s="138">
        <v>300</v>
      </c>
      <c r="G28" s="138">
        <f>E28*F28</f>
        <v>71832</v>
      </c>
      <c r="H28" s="160">
        <f>G28*1.23</f>
        <v>88353.36</v>
      </c>
      <c r="I28" s="1"/>
    </row>
    <row r="29" spans="2:9" s="69" customFormat="1" ht="25.5" x14ac:dyDescent="0.2">
      <c r="B29" s="191"/>
      <c r="C29" s="135" t="s">
        <v>190</v>
      </c>
      <c r="D29" s="178" t="s">
        <v>89</v>
      </c>
      <c r="E29" s="179">
        <v>1</v>
      </c>
      <c r="F29" s="138">
        <v>30000</v>
      </c>
      <c r="G29" s="138">
        <f t="shared" ref="G29:G32" si="3">E29*F29</f>
        <v>30000</v>
      </c>
      <c r="H29" s="160">
        <f t="shared" ref="H29:H32" si="4">G29*1.23</f>
        <v>36900</v>
      </c>
      <c r="I29" s="1"/>
    </row>
    <row r="30" spans="2:9" s="69" customFormat="1" ht="12.75" x14ac:dyDescent="0.2">
      <c r="B30" s="191"/>
      <c r="C30" s="135" t="s">
        <v>191</v>
      </c>
      <c r="D30" s="178" t="s">
        <v>18</v>
      </c>
      <c r="E30" s="179">
        <v>1</v>
      </c>
      <c r="F30" s="138">
        <v>50000</v>
      </c>
      <c r="G30" s="138">
        <f t="shared" si="3"/>
        <v>50000</v>
      </c>
      <c r="H30" s="160">
        <f t="shared" si="4"/>
        <v>61500</v>
      </c>
      <c r="I30" s="1"/>
    </row>
    <row r="31" spans="2:9" s="69" customFormat="1" ht="13.9" x14ac:dyDescent="0.3">
      <c r="B31" s="191"/>
      <c r="C31" s="135" t="s">
        <v>197</v>
      </c>
      <c r="D31" s="178" t="s">
        <v>89</v>
      </c>
      <c r="E31" s="179">
        <v>1</v>
      </c>
      <c r="F31" s="138">
        <v>8000</v>
      </c>
      <c r="G31" s="138">
        <f t="shared" si="3"/>
        <v>8000</v>
      </c>
      <c r="H31" s="160">
        <f t="shared" si="4"/>
        <v>9840</v>
      </c>
      <c r="I31" s="1"/>
    </row>
    <row r="32" spans="2:9" s="69" customFormat="1" ht="13.9" x14ac:dyDescent="0.3">
      <c r="B32" s="191"/>
      <c r="C32" s="135" t="s">
        <v>198</v>
      </c>
      <c r="D32" s="178" t="s">
        <v>89</v>
      </c>
      <c r="E32" s="179">
        <v>1</v>
      </c>
      <c r="F32" s="138">
        <v>30000</v>
      </c>
      <c r="G32" s="138">
        <f t="shared" si="3"/>
        <v>30000</v>
      </c>
      <c r="H32" s="160">
        <f t="shared" si="4"/>
        <v>36900</v>
      </c>
      <c r="I32" s="1"/>
    </row>
    <row r="33" spans="2:9" s="69" customFormat="1" ht="13.9" x14ac:dyDescent="0.3">
      <c r="B33" s="191"/>
      <c r="C33" s="135" t="s">
        <v>199</v>
      </c>
      <c r="D33" s="178" t="s">
        <v>89</v>
      </c>
      <c r="E33" s="179">
        <v>1</v>
      </c>
      <c r="F33" s="138">
        <v>40000</v>
      </c>
      <c r="G33" s="138">
        <f t="shared" ref="G33" si="5">E33*F33</f>
        <v>40000</v>
      </c>
      <c r="H33" s="160">
        <f t="shared" ref="H33" si="6">G33*1.23</f>
        <v>49200</v>
      </c>
      <c r="I33" s="1"/>
    </row>
    <row r="34" spans="2:9" s="69" customFormat="1" ht="13.9" x14ac:dyDescent="0.3">
      <c r="B34" s="191"/>
      <c r="C34" s="134" t="s">
        <v>93</v>
      </c>
      <c r="D34" s="143"/>
      <c r="E34" s="177"/>
      <c r="F34" s="143"/>
      <c r="G34" s="143"/>
      <c r="H34" s="192"/>
      <c r="I34" s="1"/>
    </row>
    <row r="35" spans="2:9" s="69" customFormat="1" ht="12.75" x14ac:dyDescent="0.2">
      <c r="B35" s="191"/>
      <c r="C35" s="135" t="s">
        <v>36</v>
      </c>
      <c r="D35" s="178" t="s">
        <v>18</v>
      </c>
      <c r="E35" s="179" t="s">
        <v>26</v>
      </c>
      <c r="F35" s="138" t="s">
        <v>26</v>
      </c>
      <c r="G35" s="138">
        <v>30000</v>
      </c>
      <c r="H35" s="160">
        <f>G35*1.23</f>
        <v>36900</v>
      </c>
      <c r="I35" s="1"/>
    </row>
    <row r="36" spans="2:9" s="69" customFormat="1" ht="51" x14ac:dyDescent="0.2">
      <c r="B36" s="191"/>
      <c r="C36" s="135" t="s">
        <v>37</v>
      </c>
      <c r="D36" s="178" t="s">
        <v>18</v>
      </c>
      <c r="E36" s="179" t="s">
        <v>26</v>
      </c>
      <c r="F36" s="138" t="s">
        <v>26</v>
      </c>
      <c r="G36" s="138">
        <v>18000</v>
      </c>
      <c r="H36" s="160">
        <f>G36*1.23</f>
        <v>22140</v>
      </c>
      <c r="I36" s="1"/>
    </row>
    <row r="37" spans="2:9" s="69" customFormat="1" ht="13.9" x14ac:dyDescent="0.3">
      <c r="B37" s="191"/>
      <c r="C37" s="135" t="s">
        <v>200</v>
      </c>
      <c r="D37" s="178" t="s">
        <v>17</v>
      </c>
      <c r="E37" s="179">
        <v>11</v>
      </c>
      <c r="F37" s="138">
        <v>1000</v>
      </c>
      <c r="G37" s="138">
        <f t="shared" ref="G37:G38" si="7">E37*F37</f>
        <v>11000</v>
      </c>
      <c r="H37" s="160">
        <f>G37*1.23</f>
        <v>13530</v>
      </c>
      <c r="I37" s="1"/>
    </row>
    <row r="38" spans="2:9" s="69" customFormat="1" ht="25.5" x14ac:dyDescent="0.2">
      <c r="B38" s="191"/>
      <c r="C38" s="135" t="s">
        <v>202</v>
      </c>
      <c r="D38" s="178" t="s">
        <v>89</v>
      </c>
      <c r="E38" s="179">
        <v>3</v>
      </c>
      <c r="F38" s="138">
        <v>6000</v>
      </c>
      <c r="G38" s="138">
        <f t="shared" si="7"/>
        <v>18000</v>
      </c>
      <c r="H38" s="160">
        <f t="shared" ref="H38" si="8">G38*1.23</f>
        <v>22140</v>
      </c>
      <c r="I38" s="1"/>
    </row>
    <row r="39" spans="2:9" s="69" customFormat="1" ht="13.9" x14ac:dyDescent="0.3">
      <c r="B39" s="191"/>
      <c r="C39" s="135" t="s">
        <v>197</v>
      </c>
      <c r="D39" s="178" t="s">
        <v>89</v>
      </c>
      <c r="E39" s="179">
        <v>1</v>
      </c>
      <c r="F39" s="138">
        <v>8000</v>
      </c>
      <c r="G39" s="138">
        <f t="shared" ref="G39" si="9">E39*F39</f>
        <v>8000</v>
      </c>
      <c r="H39" s="160">
        <f t="shared" ref="H39" si="10">G39*1.23</f>
        <v>9840</v>
      </c>
      <c r="I39" s="1"/>
    </row>
    <row r="40" spans="2:9" s="69" customFormat="1" ht="12.75" x14ac:dyDescent="0.2">
      <c r="B40" s="191"/>
      <c r="C40" s="135" t="s">
        <v>205</v>
      </c>
      <c r="D40" s="178" t="s">
        <v>17</v>
      </c>
      <c r="E40" s="179">
        <f>100+50*4</f>
        <v>300</v>
      </c>
      <c r="F40" s="138">
        <v>50</v>
      </c>
      <c r="G40" s="138">
        <f t="shared" ref="G40" si="11">E40*F40</f>
        <v>15000</v>
      </c>
      <c r="H40" s="160">
        <f t="shared" ref="H40" si="12">G40*1.23</f>
        <v>18450</v>
      </c>
      <c r="I40" s="1"/>
    </row>
    <row r="41" spans="2:9" s="69" customFormat="1" ht="12.75" x14ac:dyDescent="0.2">
      <c r="B41" s="191"/>
      <c r="C41" s="135" t="s">
        <v>201</v>
      </c>
      <c r="D41" s="178" t="s">
        <v>89</v>
      </c>
      <c r="E41" s="179">
        <v>1</v>
      </c>
      <c r="F41" s="138">
        <v>8000</v>
      </c>
      <c r="G41" s="138">
        <f t="shared" ref="G41:G42" si="13">E41*F41</f>
        <v>8000</v>
      </c>
      <c r="H41" s="160">
        <f t="shared" ref="H41:H42" si="14">G41*1.23</f>
        <v>9840</v>
      </c>
      <c r="I41" s="1"/>
    </row>
    <row r="42" spans="2:9" s="69" customFormat="1" ht="12.75" x14ac:dyDescent="0.2">
      <c r="B42" s="191"/>
      <c r="C42" s="172" t="s">
        <v>151</v>
      </c>
      <c r="D42" s="227" t="s">
        <v>89</v>
      </c>
      <c r="E42" s="181">
        <v>1</v>
      </c>
      <c r="F42" s="175">
        <v>45000</v>
      </c>
      <c r="G42" s="175">
        <f t="shared" si="13"/>
        <v>45000</v>
      </c>
      <c r="H42" s="176">
        <f t="shared" si="14"/>
        <v>55350</v>
      </c>
      <c r="I42" s="1"/>
    </row>
    <row r="43" spans="2:9" s="69" customFormat="1" ht="13.9" x14ac:dyDescent="0.3">
      <c r="B43" s="191"/>
      <c r="C43" s="135" t="s">
        <v>204</v>
      </c>
      <c r="D43" s="178" t="s">
        <v>89</v>
      </c>
      <c r="E43" s="179">
        <v>1</v>
      </c>
      <c r="F43" s="138">
        <v>20000</v>
      </c>
      <c r="G43" s="138">
        <f t="shared" ref="G43" si="15">E43*F43</f>
        <v>20000</v>
      </c>
      <c r="H43" s="160">
        <f t="shared" ref="H43" si="16">G43*1.23</f>
        <v>24600</v>
      </c>
      <c r="I43" s="1"/>
    </row>
    <row r="44" spans="2:9" s="69" customFormat="1" ht="13.9" x14ac:dyDescent="0.3">
      <c r="B44" s="191"/>
      <c r="C44" s="147"/>
      <c r="D44" s="147"/>
      <c r="E44" s="147"/>
      <c r="F44" s="147"/>
      <c r="G44" s="147"/>
      <c r="H44" s="162"/>
      <c r="I44" s="1"/>
    </row>
    <row r="45" spans="2:9" s="69" customFormat="1" ht="12.75" x14ac:dyDescent="0.2">
      <c r="B45" s="191"/>
      <c r="C45" s="134" t="s">
        <v>94</v>
      </c>
      <c r="D45" s="143"/>
      <c r="E45" s="177"/>
      <c r="F45" s="143"/>
      <c r="G45" s="143"/>
      <c r="H45" s="192"/>
      <c r="I45" s="1"/>
    </row>
    <row r="46" spans="2:9" s="69" customFormat="1" ht="12.75" x14ac:dyDescent="0.2">
      <c r="B46" s="191"/>
      <c r="C46" s="147" t="s">
        <v>194</v>
      </c>
      <c r="D46" s="138" t="s">
        <v>17</v>
      </c>
      <c r="E46" s="182">
        <v>2.5</v>
      </c>
      <c r="F46" s="138">
        <v>1000</v>
      </c>
      <c r="G46" s="138">
        <f>E46*F46</f>
        <v>2500</v>
      </c>
      <c r="H46" s="160">
        <f>G46*1.23</f>
        <v>3075</v>
      </c>
      <c r="I46" s="1"/>
    </row>
    <row r="47" spans="2:9" s="69" customFormat="1" ht="25.5" x14ac:dyDescent="0.2">
      <c r="B47" s="191"/>
      <c r="C47" s="147" t="s">
        <v>65</v>
      </c>
      <c r="D47" s="178" t="s">
        <v>18</v>
      </c>
      <c r="E47" s="179" t="s">
        <v>26</v>
      </c>
      <c r="F47" s="138" t="s">
        <v>26</v>
      </c>
      <c r="G47" s="180" t="s">
        <v>26</v>
      </c>
      <c r="H47" s="160">
        <v>32871.75</v>
      </c>
      <c r="I47" s="71" t="s">
        <v>35</v>
      </c>
    </row>
    <row r="48" spans="2:9" s="69" customFormat="1" ht="12.75" x14ac:dyDescent="0.2">
      <c r="B48" s="193" t="s">
        <v>26</v>
      </c>
      <c r="C48" s="147" t="s">
        <v>38</v>
      </c>
      <c r="D48" s="178" t="s">
        <v>17</v>
      </c>
      <c r="E48" s="179">
        <v>70</v>
      </c>
      <c r="F48" s="138">
        <v>250</v>
      </c>
      <c r="G48" s="138">
        <f>E48*F48</f>
        <v>17500</v>
      </c>
      <c r="H48" s="160">
        <f>G48*1.23</f>
        <v>21525</v>
      </c>
    </row>
    <row r="49" spans="1:9" s="69" customFormat="1" ht="12.75" x14ac:dyDescent="0.2">
      <c r="B49" s="194" t="s">
        <v>26</v>
      </c>
      <c r="C49" s="147" t="s">
        <v>193</v>
      </c>
      <c r="D49" s="178" t="s">
        <v>89</v>
      </c>
      <c r="E49" s="179">
        <v>1</v>
      </c>
      <c r="F49" s="183">
        <v>8000</v>
      </c>
      <c r="G49" s="138">
        <v>15000</v>
      </c>
      <c r="H49" s="160">
        <f t="shared" ref="H49" si="17">G49*1.23</f>
        <v>18450</v>
      </c>
    </row>
    <row r="50" spans="1:9" s="69" customFormat="1" ht="13.9" x14ac:dyDescent="0.3">
      <c r="B50" s="194" t="s">
        <v>26</v>
      </c>
      <c r="C50" s="147" t="s">
        <v>192</v>
      </c>
      <c r="D50" s="178" t="s">
        <v>17</v>
      </c>
      <c r="E50" s="182">
        <v>9</v>
      </c>
      <c r="F50" s="183">
        <v>1000</v>
      </c>
      <c r="G50" s="138">
        <f>E50*F50</f>
        <v>9000</v>
      </c>
      <c r="H50" s="160">
        <f>G50*1.23</f>
        <v>11070</v>
      </c>
    </row>
    <row r="51" spans="1:9" s="69" customFormat="1" ht="12.75" x14ac:dyDescent="0.2">
      <c r="B51" s="194"/>
      <c r="C51" s="135" t="s">
        <v>206</v>
      </c>
      <c r="D51" s="178" t="s">
        <v>89</v>
      </c>
      <c r="E51" s="179">
        <v>1</v>
      </c>
      <c r="F51" s="138">
        <v>15000</v>
      </c>
      <c r="G51" s="138">
        <f t="shared" ref="G51" si="18">E51*F51</f>
        <v>15000</v>
      </c>
      <c r="H51" s="160">
        <f t="shared" ref="H51" si="19">G51*1.23</f>
        <v>18450</v>
      </c>
    </row>
    <row r="52" spans="1:9" s="69" customFormat="1" ht="12.75" x14ac:dyDescent="0.2">
      <c r="B52" s="194"/>
      <c r="C52" s="135" t="s">
        <v>207</v>
      </c>
      <c r="D52" s="178" t="s">
        <v>17</v>
      </c>
      <c r="E52" s="179">
        <f>85+44+70*3.55</f>
        <v>377.5</v>
      </c>
      <c r="F52" s="138">
        <v>50</v>
      </c>
      <c r="G52" s="138">
        <f t="shared" ref="G52" si="20">E52*F52</f>
        <v>18875</v>
      </c>
      <c r="H52" s="160">
        <f t="shared" ref="H52" si="21">G52*1.23</f>
        <v>23216.25</v>
      </c>
    </row>
    <row r="53" spans="1:9" s="69" customFormat="1" ht="12.75" x14ac:dyDescent="0.2">
      <c r="B53" s="194"/>
      <c r="C53" s="142" t="s">
        <v>175</v>
      </c>
      <c r="D53" s="184"/>
      <c r="E53" s="185"/>
      <c r="F53" s="146"/>
      <c r="G53" s="146"/>
      <c r="H53" s="161"/>
    </row>
    <row r="54" spans="1:9" s="69" customFormat="1" ht="12.75" x14ac:dyDescent="0.2">
      <c r="B54" s="194" t="s">
        <v>26</v>
      </c>
      <c r="C54" s="135" t="s">
        <v>33</v>
      </c>
      <c r="D54" s="178" t="s">
        <v>18</v>
      </c>
      <c r="E54" s="179">
        <v>5</v>
      </c>
      <c r="F54" s="138">
        <v>1000</v>
      </c>
      <c r="G54" s="138">
        <f>E54*F54</f>
        <v>5000</v>
      </c>
      <c r="H54" s="160">
        <f>G54*1.23</f>
        <v>6150</v>
      </c>
    </row>
    <row r="55" spans="1:9" s="69" customFormat="1" ht="13.9" x14ac:dyDescent="0.3">
      <c r="B55" s="194" t="s">
        <v>26</v>
      </c>
      <c r="C55" s="186" t="s">
        <v>208</v>
      </c>
      <c r="D55" s="178" t="s">
        <v>18</v>
      </c>
      <c r="E55" s="182">
        <v>1</v>
      </c>
      <c r="F55" s="138">
        <v>15000</v>
      </c>
      <c r="G55" s="138">
        <f>E55*F55</f>
        <v>15000</v>
      </c>
      <c r="H55" s="160">
        <f>G55*1.23</f>
        <v>18450</v>
      </c>
    </row>
    <row r="56" spans="1:9" s="69" customFormat="1" ht="25.5" x14ac:dyDescent="0.2">
      <c r="B56" s="194"/>
      <c r="C56" s="135" t="s">
        <v>39</v>
      </c>
      <c r="D56" s="178" t="s">
        <v>18</v>
      </c>
      <c r="E56" s="179" t="s">
        <v>26</v>
      </c>
      <c r="F56" s="138" t="s">
        <v>26</v>
      </c>
      <c r="G56" s="180" t="s">
        <v>26</v>
      </c>
      <c r="H56" s="160">
        <v>31868</v>
      </c>
      <c r="I56" s="71" t="s">
        <v>35</v>
      </c>
    </row>
    <row r="57" spans="1:9" s="69" customFormat="1" ht="25.5" x14ac:dyDescent="0.2">
      <c r="B57" s="194" t="s">
        <v>26</v>
      </c>
      <c r="C57" s="135" t="s">
        <v>40</v>
      </c>
      <c r="D57" s="178" t="s">
        <v>18</v>
      </c>
      <c r="E57" s="179" t="s">
        <v>26</v>
      </c>
      <c r="F57" s="138" t="s">
        <v>26</v>
      </c>
      <c r="G57" s="138">
        <v>30000</v>
      </c>
      <c r="H57" s="160">
        <f>G57*1.23</f>
        <v>36900</v>
      </c>
    </row>
    <row r="58" spans="1:9" s="69" customFormat="1" ht="13.5" thickBot="1" x14ac:dyDescent="0.25">
      <c r="A58" s="77"/>
      <c r="B58" s="195"/>
      <c r="C58" s="166" t="s">
        <v>203</v>
      </c>
      <c r="D58" s="196" t="s">
        <v>89</v>
      </c>
      <c r="E58" s="197">
        <v>1</v>
      </c>
      <c r="F58" s="170">
        <v>4000</v>
      </c>
      <c r="G58" s="170">
        <f>E58*F58</f>
        <v>4000</v>
      </c>
      <c r="H58" s="171">
        <f>G58*1.23</f>
        <v>4920</v>
      </c>
    </row>
    <row r="59" spans="1:9" s="69" customFormat="1" ht="14.45" thickBot="1" x14ac:dyDescent="0.35">
      <c r="B59" s="75"/>
      <c r="C59" s="68"/>
      <c r="E59" s="96"/>
      <c r="F59" s="4"/>
      <c r="G59" s="4"/>
      <c r="H59" s="83">
        <f>SUM(H5:H57)</f>
        <v>1314740.6000000001</v>
      </c>
    </row>
    <row r="60" spans="1:9" ht="14.45" x14ac:dyDescent="0.3">
      <c r="C60" s="94"/>
    </row>
    <row r="61" spans="1:9" thickBot="1" x14ac:dyDescent="0.35">
      <c r="C61" s="107" t="s">
        <v>228</v>
      </c>
      <c r="D61" s="104"/>
      <c r="E61" s="108"/>
      <c r="F61" s="104"/>
      <c r="G61" s="104"/>
      <c r="H61" s="102"/>
    </row>
    <row r="62" spans="1:9" thickBot="1" x14ac:dyDescent="0.35">
      <c r="H62" s="84">
        <v>0</v>
      </c>
    </row>
    <row r="63" spans="1:9" ht="15.75" thickBot="1" x14ac:dyDescent="0.3">
      <c r="C63" s="85" t="s">
        <v>215</v>
      </c>
    </row>
    <row r="64" spans="1:9" ht="14.45" x14ac:dyDescent="0.3">
      <c r="B64" s="256"/>
      <c r="C64" s="123" t="s">
        <v>217</v>
      </c>
      <c r="D64" s="123" t="s">
        <v>17</v>
      </c>
      <c r="E64" s="257">
        <v>10</v>
      </c>
      <c r="F64" s="123"/>
      <c r="G64" s="258">
        <f t="shared" ref="G64:G66" si="22">H64/1.23</f>
        <v>2439.0243902439024</v>
      </c>
      <c r="H64" s="259">
        <v>3000</v>
      </c>
    </row>
    <row r="65" spans="2:8" ht="14.45" x14ac:dyDescent="0.3">
      <c r="B65" s="260"/>
      <c r="C65" s="90" t="s">
        <v>216</v>
      </c>
      <c r="D65" s="90" t="s">
        <v>18</v>
      </c>
      <c r="E65" s="255">
        <v>1</v>
      </c>
      <c r="F65" s="90"/>
      <c r="G65" s="126">
        <f t="shared" si="22"/>
        <v>3252.0325203252032</v>
      </c>
      <c r="H65" s="160">
        <v>4000</v>
      </c>
    </row>
    <row r="66" spans="2:8" x14ac:dyDescent="0.25">
      <c r="B66" s="260"/>
      <c r="C66" s="90" t="s">
        <v>219</v>
      </c>
      <c r="D66" s="90" t="s">
        <v>139</v>
      </c>
      <c r="E66" s="255">
        <v>3</v>
      </c>
      <c r="F66" s="90"/>
      <c r="G66" s="126">
        <f t="shared" si="22"/>
        <v>2439.0243902439024</v>
      </c>
      <c r="H66" s="160">
        <v>3000</v>
      </c>
    </row>
    <row r="67" spans="2:8" thickBot="1" x14ac:dyDescent="0.35">
      <c r="B67" s="261"/>
      <c r="C67" s="116" t="s">
        <v>251</v>
      </c>
      <c r="D67" s="116"/>
      <c r="E67" s="262"/>
      <c r="F67" s="116"/>
      <c r="G67" s="263">
        <f>H67/1.23</f>
        <v>28455.284552845529</v>
      </c>
      <c r="H67" s="171">
        <v>35000</v>
      </c>
    </row>
    <row r="68" spans="2:8" thickBot="1" x14ac:dyDescent="0.35">
      <c r="C68" s="70"/>
      <c r="D68" s="70"/>
      <c r="E68" s="14"/>
      <c r="F68" s="70"/>
      <c r="G68" s="120"/>
      <c r="H68" s="121">
        <f>SUM(H64:H67)</f>
        <v>45000</v>
      </c>
    </row>
  </sheetData>
  <mergeCells count="2">
    <mergeCell ref="B4:C4"/>
    <mergeCell ref="B2:C2"/>
  </mergeCells>
  <pageMargins left="0.7" right="0.7" top="0.75" bottom="0.75" header="0.3" footer="0.3"/>
  <pageSetup paperSize="9" scale="57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view="pageBreakPreview" zoomScale="60" zoomScaleNormal="100" workbookViewId="0">
      <pane ySplit="3" topLeftCell="A40" activePane="bottomLeft" state="frozen"/>
      <selection pane="bottomLeft" activeCell="J45" sqref="J45"/>
    </sheetView>
  </sheetViews>
  <sheetFormatPr defaultRowHeight="15" x14ac:dyDescent="0.25"/>
  <cols>
    <col min="1" max="1" width="9.140625" style="70"/>
    <col min="2" max="2" width="1.85546875" style="75" customWidth="1"/>
    <col min="3" max="3" width="65" bestFit="1" customWidth="1"/>
    <col min="4" max="4" width="13.140625" customWidth="1"/>
    <col min="5" max="5" width="13.140625" style="14" customWidth="1"/>
    <col min="6" max="6" width="13.140625" customWidth="1"/>
    <col min="7" max="8" width="14.140625" bestFit="1" customWidth="1"/>
    <col min="9" max="9" width="13.140625" style="6" customWidth="1"/>
  </cols>
  <sheetData>
    <row r="1" spans="2:9" x14ac:dyDescent="0.25">
      <c r="B1" s="352" t="s">
        <v>29</v>
      </c>
      <c r="C1" s="352"/>
    </row>
    <row r="2" spans="2:9" thickBot="1" x14ac:dyDescent="0.35"/>
    <row r="3" spans="2:9" s="69" customFormat="1" ht="26.25" thickBot="1" x14ac:dyDescent="0.25">
      <c r="B3" s="350" t="s">
        <v>0</v>
      </c>
      <c r="C3" s="351"/>
      <c r="D3" s="100" t="s">
        <v>1</v>
      </c>
      <c r="E3" s="88" t="s">
        <v>2</v>
      </c>
      <c r="F3" s="100" t="s">
        <v>3</v>
      </c>
      <c r="G3" s="100" t="s">
        <v>4</v>
      </c>
      <c r="H3" s="89" t="s">
        <v>5</v>
      </c>
      <c r="I3" s="1"/>
    </row>
    <row r="4" spans="2:9" s="69" customFormat="1" ht="13.9" x14ac:dyDescent="0.3">
      <c r="B4" s="187"/>
      <c r="C4" s="156" t="s">
        <v>92</v>
      </c>
      <c r="D4" s="156"/>
      <c r="E4" s="157"/>
      <c r="F4" s="156"/>
      <c r="G4" s="156"/>
      <c r="H4" s="158"/>
      <c r="I4" s="1"/>
    </row>
    <row r="5" spans="2:9" s="69" customFormat="1" ht="13.9" x14ac:dyDescent="0.3">
      <c r="B5" s="191"/>
      <c r="C5" s="135" t="s">
        <v>48</v>
      </c>
      <c r="D5" s="178" t="s">
        <v>17</v>
      </c>
      <c r="E5" s="183">
        <v>770.16</v>
      </c>
      <c r="F5" s="180">
        <v>400</v>
      </c>
      <c r="G5" s="138">
        <f t="shared" ref="G5:G13" si="0">E5*F5</f>
        <v>308064</v>
      </c>
      <c r="H5" s="160">
        <f t="shared" ref="H5:H13" si="1">G5*1.23</f>
        <v>378918.72</v>
      </c>
      <c r="I5" s="1"/>
    </row>
    <row r="6" spans="2:9" s="69" customFormat="1" ht="12.75" x14ac:dyDescent="0.2">
      <c r="B6" s="191"/>
      <c r="C6" s="243" t="s">
        <v>131</v>
      </c>
      <c r="D6" s="136" t="s">
        <v>18</v>
      </c>
      <c r="E6" s="199">
        <v>1</v>
      </c>
      <c r="F6" s="136">
        <v>25000</v>
      </c>
      <c r="G6" s="138">
        <f t="shared" si="0"/>
        <v>25000</v>
      </c>
      <c r="H6" s="160">
        <f t="shared" si="1"/>
        <v>30750</v>
      </c>
      <c r="I6" s="1"/>
    </row>
    <row r="7" spans="2:9" s="69" customFormat="1" ht="12.75" x14ac:dyDescent="0.2">
      <c r="B7" s="191"/>
      <c r="C7" s="243" t="s">
        <v>130</v>
      </c>
      <c r="D7" s="136" t="s">
        <v>89</v>
      </c>
      <c r="E7" s="199">
        <v>30</v>
      </c>
      <c r="F7" s="136">
        <v>400</v>
      </c>
      <c r="G7" s="199">
        <f t="shared" si="0"/>
        <v>12000</v>
      </c>
      <c r="H7" s="160">
        <f t="shared" si="1"/>
        <v>14760</v>
      </c>
      <c r="I7" s="1"/>
    </row>
    <row r="8" spans="2:9" s="69" customFormat="1" ht="13.9" x14ac:dyDescent="0.3">
      <c r="B8" s="191"/>
      <c r="C8" s="243" t="s">
        <v>140</v>
      </c>
      <c r="D8" s="136" t="s">
        <v>17</v>
      </c>
      <c r="E8" s="199">
        <v>35</v>
      </c>
      <c r="F8" s="136">
        <v>40</v>
      </c>
      <c r="G8" s="199">
        <f t="shared" si="0"/>
        <v>1400</v>
      </c>
      <c r="H8" s="160">
        <f t="shared" si="1"/>
        <v>1722</v>
      </c>
      <c r="I8" s="1"/>
    </row>
    <row r="9" spans="2:9" s="69" customFormat="1" ht="13.9" x14ac:dyDescent="0.3">
      <c r="B9" s="191"/>
      <c r="C9" s="243" t="s">
        <v>129</v>
      </c>
      <c r="D9" s="136" t="s">
        <v>17</v>
      </c>
      <c r="E9" s="199">
        <v>5</v>
      </c>
      <c r="F9" s="136">
        <v>700</v>
      </c>
      <c r="G9" s="199">
        <f t="shared" si="0"/>
        <v>3500</v>
      </c>
      <c r="H9" s="160">
        <f t="shared" si="1"/>
        <v>4305</v>
      </c>
      <c r="I9" s="1"/>
    </row>
    <row r="10" spans="2:9" s="69" customFormat="1" ht="12.75" x14ac:dyDescent="0.2">
      <c r="B10" s="191"/>
      <c r="C10" s="243" t="s">
        <v>141</v>
      </c>
      <c r="D10" s="136" t="s">
        <v>139</v>
      </c>
      <c r="E10" s="199">
        <v>4</v>
      </c>
      <c r="F10" s="136">
        <v>500</v>
      </c>
      <c r="G10" s="199">
        <f t="shared" si="0"/>
        <v>2000</v>
      </c>
      <c r="H10" s="160">
        <f t="shared" si="1"/>
        <v>2460</v>
      </c>
      <c r="I10" s="1"/>
    </row>
    <row r="11" spans="2:9" s="69" customFormat="1" ht="12.75" x14ac:dyDescent="0.2">
      <c r="B11" s="191"/>
      <c r="C11" s="243" t="s">
        <v>135</v>
      </c>
      <c r="D11" s="136" t="s">
        <v>18</v>
      </c>
      <c r="E11" s="199">
        <v>1</v>
      </c>
      <c r="F11" s="136">
        <v>15000</v>
      </c>
      <c r="G11" s="199">
        <f t="shared" si="0"/>
        <v>15000</v>
      </c>
      <c r="H11" s="160">
        <f t="shared" si="1"/>
        <v>18450</v>
      </c>
      <c r="I11" s="1"/>
    </row>
    <row r="12" spans="2:9" s="69" customFormat="1" ht="12.75" x14ac:dyDescent="0.2">
      <c r="B12" s="191"/>
      <c r="C12" s="243" t="s">
        <v>136</v>
      </c>
      <c r="D12" s="136" t="s">
        <v>19</v>
      </c>
      <c r="E12" s="199">
        <v>50</v>
      </c>
      <c r="F12" s="136">
        <v>120</v>
      </c>
      <c r="G12" s="199">
        <f t="shared" si="0"/>
        <v>6000</v>
      </c>
      <c r="H12" s="160">
        <f t="shared" si="1"/>
        <v>7380</v>
      </c>
      <c r="I12" s="1"/>
    </row>
    <row r="13" spans="2:9" s="69" customFormat="1" ht="25.5" x14ac:dyDescent="0.2">
      <c r="B13" s="191"/>
      <c r="C13" s="243" t="s">
        <v>195</v>
      </c>
      <c r="D13" s="136" t="s">
        <v>19</v>
      </c>
      <c r="E13" s="199">
        <v>35</v>
      </c>
      <c r="F13" s="136">
        <v>200</v>
      </c>
      <c r="G13" s="199">
        <f t="shared" si="0"/>
        <v>7000</v>
      </c>
      <c r="H13" s="160">
        <f t="shared" si="1"/>
        <v>8610</v>
      </c>
      <c r="I13" s="1"/>
    </row>
    <row r="14" spans="2:9" s="69" customFormat="1" ht="27.6" x14ac:dyDescent="0.3">
      <c r="B14" s="191"/>
      <c r="C14" s="135" t="s">
        <v>71</v>
      </c>
      <c r="D14" s="178" t="s">
        <v>18</v>
      </c>
      <c r="E14" s="183" t="s">
        <v>26</v>
      </c>
      <c r="F14" s="180" t="s">
        <v>26</v>
      </c>
      <c r="G14" s="180" t="s">
        <v>26</v>
      </c>
      <c r="H14" s="160">
        <v>12998.64</v>
      </c>
      <c r="I14" s="71" t="s">
        <v>35</v>
      </c>
    </row>
    <row r="15" spans="2:9" s="69" customFormat="1" ht="27.6" x14ac:dyDescent="0.3">
      <c r="B15" s="191"/>
      <c r="C15" s="135" t="s">
        <v>72</v>
      </c>
      <c r="D15" s="178" t="s">
        <v>18</v>
      </c>
      <c r="E15" s="183" t="s">
        <v>26</v>
      </c>
      <c r="F15" s="180" t="s">
        <v>26</v>
      </c>
      <c r="G15" s="180" t="s">
        <v>26</v>
      </c>
      <c r="H15" s="160">
        <v>3690</v>
      </c>
      <c r="I15" s="71" t="s">
        <v>35</v>
      </c>
    </row>
    <row r="16" spans="2:9" s="69" customFormat="1" ht="12.75" x14ac:dyDescent="0.2">
      <c r="B16" s="191"/>
      <c r="C16" s="135" t="s">
        <v>144</v>
      </c>
      <c r="D16" s="178" t="s">
        <v>17</v>
      </c>
      <c r="E16" s="183">
        <f>71.28+12.47</f>
        <v>83.75</v>
      </c>
      <c r="F16" s="180">
        <v>400</v>
      </c>
      <c r="G16" s="199">
        <f>E16*F16</f>
        <v>33500</v>
      </c>
      <c r="H16" s="160">
        <f>G16*1.23</f>
        <v>41205</v>
      </c>
      <c r="I16" s="1"/>
    </row>
    <row r="17" spans="2:15" s="69" customFormat="1" ht="12.75" x14ac:dyDescent="0.2">
      <c r="B17" s="191"/>
      <c r="C17" s="135" t="s">
        <v>127</v>
      </c>
      <c r="D17" s="178" t="s">
        <v>17</v>
      </c>
      <c r="E17" s="183">
        <v>250</v>
      </c>
      <c r="F17" s="180">
        <v>120</v>
      </c>
      <c r="G17" s="138">
        <f>E17*F17</f>
        <v>30000</v>
      </c>
      <c r="H17" s="160">
        <f t="shared" ref="H17" si="2">G17*1.23</f>
        <v>36900</v>
      </c>
      <c r="I17" s="1"/>
    </row>
    <row r="18" spans="2:15" s="69" customFormat="1" ht="13.9" x14ac:dyDescent="0.3">
      <c r="B18" s="191"/>
      <c r="C18" s="142" t="s">
        <v>99</v>
      </c>
      <c r="D18" s="184"/>
      <c r="E18" s="244"/>
      <c r="F18" s="245"/>
      <c r="G18" s="198"/>
      <c r="H18" s="160"/>
      <c r="I18" s="1"/>
    </row>
    <row r="19" spans="2:15" s="69" customFormat="1" ht="27.6" x14ac:dyDescent="0.3">
      <c r="B19" s="191"/>
      <c r="C19" s="135" t="s">
        <v>51</v>
      </c>
      <c r="D19" s="178" t="s">
        <v>18</v>
      </c>
      <c r="E19" s="183" t="s">
        <v>26</v>
      </c>
      <c r="F19" s="180" t="s">
        <v>26</v>
      </c>
      <c r="G19" s="138" t="s">
        <v>26</v>
      </c>
      <c r="H19" s="160">
        <v>69386.27</v>
      </c>
      <c r="I19" s="71" t="s">
        <v>35</v>
      </c>
    </row>
    <row r="20" spans="2:15" s="69" customFormat="1" ht="25.5" x14ac:dyDescent="0.2">
      <c r="B20" s="191"/>
      <c r="C20" s="135" t="s">
        <v>70</v>
      </c>
      <c r="D20" s="178" t="s">
        <v>17</v>
      </c>
      <c r="E20" s="183">
        <v>7.49</v>
      </c>
      <c r="F20" s="180">
        <v>2100</v>
      </c>
      <c r="G20" s="138">
        <f>E20*F20</f>
        <v>15729</v>
      </c>
      <c r="H20" s="160">
        <f t="shared" ref="H20" si="3">G20*1.23</f>
        <v>19346.669999999998</v>
      </c>
      <c r="I20" s="71" t="s">
        <v>35</v>
      </c>
    </row>
    <row r="21" spans="2:15" s="69" customFormat="1" ht="12.75" x14ac:dyDescent="0.2">
      <c r="B21" s="191"/>
      <c r="C21" s="135" t="s">
        <v>209</v>
      </c>
      <c r="D21" s="178" t="s">
        <v>89</v>
      </c>
      <c r="E21" s="183">
        <v>1</v>
      </c>
      <c r="F21" s="180">
        <v>5000</v>
      </c>
      <c r="G21" s="138">
        <f>E21*F21</f>
        <v>5000</v>
      </c>
      <c r="H21" s="160">
        <f t="shared" ref="H21" si="4">G21*1.23</f>
        <v>6150</v>
      </c>
      <c r="I21" s="1"/>
    </row>
    <row r="22" spans="2:15" s="69" customFormat="1" ht="13.9" x14ac:dyDescent="0.3">
      <c r="B22" s="191"/>
      <c r="C22" s="134" t="s">
        <v>132</v>
      </c>
      <c r="D22" s="143"/>
      <c r="E22" s="198"/>
      <c r="F22" s="143"/>
      <c r="G22" s="143"/>
      <c r="H22" s="160"/>
      <c r="I22" s="1"/>
    </row>
    <row r="23" spans="2:15" s="69" customFormat="1" ht="12.75" x14ac:dyDescent="0.2">
      <c r="B23" s="191"/>
      <c r="C23" s="243" t="s">
        <v>137</v>
      </c>
      <c r="D23" s="136" t="s">
        <v>89</v>
      </c>
      <c r="E23" s="199">
        <v>1</v>
      </c>
      <c r="F23" s="136">
        <v>40000</v>
      </c>
      <c r="G23" s="199">
        <f t="shared" ref="G23:G29" si="5">E23*F23</f>
        <v>40000</v>
      </c>
      <c r="H23" s="160">
        <f t="shared" ref="H23:H29" si="6">G23*1.23</f>
        <v>49200</v>
      </c>
      <c r="I23" s="1"/>
    </row>
    <row r="24" spans="2:15" s="69" customFormat="1" ht="12.75" x14ac:dyDescent="0.2">
      <c r="B24" s="191"/>
      <c r="C24" s="243" t="s">
        <v>138</v>
      </c>
      <c r="D24" s="136" t="s">
        <v>18</v>
      </c>
      <c r="E24" s="199">
        <v>1</v>
      </c>
      <c r="F24" s="136">
        <v>40000</v>
      </c>
      <c r="G24" s="199">
        <f t="shared" si="5"/>
        <v>40000</v>
      </c>
      <c r="H24" s="160">
        <f t="shared" si="6"/>
        <v>49200</v>
      </c>
      <c r="I24" s="1"/>
    </row>
    <row r="25" spans="2:15" s="69" customFormat="1" ht="12.75" x14ac:dyDescent="0.2">
      <c r="B25" s="191"/>
      <c r="C25" s="135" t="s">
        <v>49</v>
      </c>
      <c r="D25" s="178" t="s">
        <v>17</v>
      </c>
      <c r="E25" s="183">
        <v>25</v>
      </c>
      <c r="F25" s="180">
        <v>300</v>
      </c>
      <c r="G25" s="138">
        <f t="shared" si="5"/>
        <v>7500</v>
      </c>
      <c r="H25" s="160">
        <f t="shared" si="6"/>
        <v>9225</v>
      </c>
      <c r="I25" s="1"/>
    </row>
    <row r="26" spans="2:15" s="69" customFormat="1" ht="25.5" x14ac:dyDescent="0.2">
      <c r="B26" s="191"/>
      <c r="C26" s="243" t="s">
        <v>149</v>
      </c>
      <c r="D26" s="136" t="s">
        <v>18</v>
      </c>
      <c r="E26" s="199">
        <v>1</v>
      </c>
      <c r="F26" s="136">
        <v>20000</v>
      </c>
      <c r="G26" s="138">
        <f t="shared" si="5"/>
        <v>20000</v>
      </c>
      <c r="H26" s="160">
        <f t="shared" si="6"/>
        <v>24600</v>
      </c>
      <c r="I26" s="1"/>
    </row>
    <row r="27" spans="2:15" s="69" customFormat="1" ht="12.75" x14ac:dyDescent="0.2">
      <c r="B27" s="191"/>
      <c r="C27" s="243" t="s">
        <v>143</v>
      </c>
      <c r="D27" s="136" t="s">
        <v>17</v>
      </c>
      <c r="E27" s="199">
        <v>100</v>
      </c>
      <c r="F27" s="136">
        <v>300</v>
      </c>
      <c r="G27" s="199">
        <f t="shared" si="5"/>
        <v>30000</v>
      </c>
      <c r="H27" s="160">
        <f t="shared" si="6"/>
        <v>36900</v>
      </c>
      <c r="I27" s="1"/>
    </row>
    <row r="28" spans="2:15" s="69" customFormat="1" ht="13.9" x14ac:dyDescent="0.3">
      <c r="B28" s="191"/>
      <c r="C28" s="243" t="s">
        <v>147</v>
      </c>
      <c r="D28" s="136" t="s">
        <v>17</v>
      </c>
      <c r="E28" s="199">
        <v>160</v>
      </c>
      <c r="F28" s="136">
        <v>200</v>
      </c>
      <c r="G28" s="199">
        <f t="shared" si="5"/>
        <v>32000</v>
      </c>
      <c r="H28" s="160">
        <f t="shared" si="6"/>
        <v>39360</v>
      </c>
      <c r="I28" s="1"/>
    </row>
    <row r="29" spans="2:15" s="69" customFormat="1" ht="13.9" x14ac:dyDescent="0.3">
      <c r="B29" s="191"/>
      <c r="C29" s="243" t="s">
        <v>148</v>
      </c>
      <c r="D29" s="136" t="s">
        <v>17</v>
      </c>
      <c r="E29" s="199">
        <v>66</v>
      </c>
      <c r="F29" s="136">
        <v>100</v>
      </c>
      <c r="G29" s="199">
        <f t="shared" si="5"/>
        <v>6600</v>
      </c>
      <c r="H29" s="160">
        <f t="shared" si="6"/>
        <v>8118</v>
      </c>
      <c r="I29" s="1"/>
    </row>
    <row r="30" spans="2:15" s="69" customFormat="1" ht="12.75" x14ac:dyDescent="0.2">
      <c r="B30" s="191"/>
      <c r="C30" s="243" t="s">
        <v>121</v>
      </c>
      <c r="D30" s="136" t="s">
        <v>17</v>
      </c>
      <c r="E30" s="199">
        <f>373+201</f>
        <v>574</v>
      </c>
      <c r="F30" s="136">
        <v>40</v>
      </c>
      <c r="G30" s="199">
        <f t="shared" ref="G30" si="7">E30*F30</f>
        <v>22960</v>
      </c>
      <c r="H30" s="160">
        <f t="shared" ref="H30:H33" si="8">G30*1.23</f>
        <v>28240.799999999999</v>
      </c>
      <c r="I30" s="1"/>
    </row>
    <row r="31" spans="2:15" s="69" customFormat="1" ht="13.9" x14ac:dyDescent="0.3">
      <c r="B31" s="191"/>
      <c r="C31" s="243" t="s">
        <v>210</v>
      </c>
      <c r="D31" s="136" t="s">
        <v>19</v>
      </c>
      <c r="E31" s="199">
        <v>100</v>
      </c>
      <c r="F31" s="136">
        <v>140</v>
      </c>
      <c r="G31" s="199">
        <f t="shared" ref="G31:G32" si="9">E31*F31</f>
        <v>14000</v>
      </c>
      <c r="H31" s="160">
        <f t="shared" si="8"/>
        <v>17220</v>
      </c>
      <c r="I31" s="1"/>
    </row>
    <row r="32" spans="2:15" s="69" customFormat="1" ht="13.9" x14ac:dyDescent="0.3">
      <c r="B32" s="191"/>
      <c r="C32" s="243" t="s">
        <v>145</v>
      </c>
      <c r="D32" s="136" t="s">
        <v>17</v>
      </c>
      <c r="E32" s="199">
        <f>30*1.8</f>
        <v>54</v>
      </c>
      <c r="F32" s="136">
        <v>450</v>
      </c>
      <c r="G32" s="199">
        <f t="shared" si="9"/>
        <v>24300</v>
      </c>
      <c r="H32" s="160">
        <f t="shared" si="8"/>
        <v>29889</v>
      </c>
      <c r="I32" s="1"/>
      <c r="O32" s="69">
        <v>3</v>
      </c>
    </row>
    <row r="33" spans="2:9" s="69" customFormat="1" ht="13.9" x14ac:dyDescent="0.3">
      <c r="B33" s="191"/>
      <c r="C33" s="243" t="s">
        <v>146</v>
      </c>
      <c r="D33" s="136" t="s">
        <v>17</v>
      </c>
      <c r="E33" s="199">
        <f>100*1.8</f>
        <v>180</v>
      </c>
      <c r="F33" s="136">
        <v>200</v>
      </c>
      <c r="G33" s="199">
        <f t="shared" ref="G33" si="10">E33*F33</f>
        <v>36000</v>
      </c>
      <c r="H33" s="160">
        <f t="shared" si="8"/>
        <v>44280</v>
      </c>
      <c r="I33" s="1"/>
    </row>
    <row r="34" spans="2:9" s="69" customFormat="1" ht="13.9" x14ac:dyDescent="0.3">
      <c r="B34" s="191"/>
      <c r="C34" s="135" t="s">
        <v>150</v>
      </c>
      <c r="D34" s="178" t="s">
        <v>18</v>
      </c>
      <c r="E34" s="183">
        <v>1</v>
      </c>
      <c r="F34" s="180">
        <v>10000</v>
      </c>
      <c r="G34" s="199">
        <f t="shared" ref="G34" si="11">E34*F34</f>
        <v>10000</v>
      </c>
      <c r="H34" s="160">
        <f t="shared" ref="H34" si="12">G34*1.23</f>
        <v>12300</v>
      </c>
      <c r="I34" s="1"/>
    </row>
    <row r="35" spans="2:9" s="69" customFormat="1" ht="13.9" x14ac:dyDescent="0.3">
      <c r="B35" s="191"/>
      <c r="C35" s="134" t="s">
        <v>93</v>
      </c>
      <c r="D35" s="143"/>
      <c r="E35" s="198"/>
      <c r="F35" s="143"/>
      <c r="G35" s="143"/>
      <c r="H35" s="160"/>
      <c r="I35" s="1"/>
    </row>
    <row r="36" spans="2:9" s="69" customFormat="1" ht="13.9" x14ac:dyDescent="0.3">
      <c r="B36" s="191"/>
      <c r="C36" s="243" t="s">
        <v>134</v>
      </c>
      <c r="D36" s="136" t="s">
        <v>17</v>
      </c>
      <c r="E36" s="199">
        <v>25</v>
      </c>
      <c r="F36" s="136">
        <v>800</v>
      </c>
      <c r="G36" s="199">
        <f t="shared" ref="G36:G37" si="13">E36*F36</f>
        <v>20000</v>
      </c>
      <c r="H36" s="160">
        <f t="shared" ref="H36:H39" si="14">G36*1.23</f>
        <v>24600</v>
      </c>
      <c r="I36" s="1"/>
    </row>
    <row r="37" spans="2:9" s="69" customFormat="1" ht="12.75" x14ac:dyDescent="0.2">
      <c r="B37" s="191"/>
      <c r="C37" s="243" t="s">
        <v>143</v>
      </c>
      <c r="D37" s="136" t="s">
        <v>17</v>
      </c>
      <c r="E37" s="199">
        <f>51+51+35+10+28+11+31</f>
        <v>217</v>
      </c>
      <c r="F37" s="136">
        <v>300</v>
      </c>
      <c r="G37" s="199">
        <f t="shared" si="13"/>
        <v>65100</v>
      </c>
      <c r="H37" s="160">
        <f t="shared" si="14"/>
        <v>80073</v>
      </c>
      <c r="I37" s="1"/>
    </row>
    <row r="38" spans="2:9" s="69" customFormat="1" ht="12.75" x14ac:dyDescent="0.2">
      <c r="B38" s="191"/>
      <c r="C38" s="243" t="s">
        <v>119</v>
      </c>
      <c r="D38" s="136" t="s">
        <v>17</v>
      </c>
      <c r="E38" s="199">
        <f>580+252</f>
        <v>832</v>
      </c>
      <c r="F38" s="136">
        <v>40</v>
      </c>
      <c r="G38" s="199">
        <f t="shared" ref="G38" si="15">E38*F38</f>
        <v>33280</v>
      </c>
      <c r="H38" s="160">
        <f t="shared" si="14"/>
        <v>40934.400000000001</v>
      </c>
      <c r="I38" s="1"/>
    </row>
    <row r="39" spans="2:9" s="69" customFormat="1" ht="12.75" x14ac:dyDescent="0.2">
      <c r="B39" s="191"/>
      <c r="C39" s="243" t="s">
        <v>142</v>
      </c>
      <c r="D39" s="136" t="s">
        <v>18</v>
      </c>
      <c r="E39" s="199">
        <v>1</v>
      </c>
      <c r="F39" s="136">
        <v>15000</v>
      </c>
      <c r="G39" s="199">
        <f t="shared" ref="G39" si="16">E39*F39</f>
        <v>15000</v>
      </c>
      <c r="H39" s="160">
        <f t="shared" si="14"/>
        <v>18450</v>
      </c>
      <c r="I39" s="1"/>
    </row>
    <row r="40" spans="2:9" s="69" customFormat="1" ht="12.75" x14ac:dyDescent="0.2">
      <c r="B40" s="191"/>
      <c r="C40" s="135" t="s">
        <v>212</v>
      </c>
      <c r="D40" s="178" t="s">
        <v>18</v>
      </c>
      <c r="E40" s="183" t="s">
        <v>26</v>
      </c>
      <c r="F40" s="180" t="s">
        <v>26</v>
      </c>
      <c r="G40" s="138">
        <v>15000</v>
      </c>
      <c r="H40" s="160">
        <f>G40*1.23</f>
        <v>18450</v>
      </c>
      <c r="I40" s="1"/>
    </row>
    <row r="41" spans="2:9" s="69" customFormat="1" ht="13.9" x14ac:dyDescent="0.3">
      <c r="B41" s="191"/>
      <c r="C41" s="134" t="s">
        <v>116</v>
      </c>
      <c r="D41" s="143"/>
      <c r="E41" s="198"/>
      <c r="F41" s="143"/>
      <c r="G41" s="143"/>
      <c r="H41" s="160"/>
      <c r="I41" s="1"/>
    </row>
    <row r="42" spans="2:9" s="69" customFormat="1" ht="12.75" x14ac:dyDescent="0.2">
      <c r="B42" s="191"/>
      <c r="C42" s="243" t="s">
        <v>143</v>
      </c>
      <c r="D42" s="136" t="s">
        <v>17</v>
      </c>
      <c r="E42" s="199">
        <v>252</v>
      </c>
      <c r="F42" s="136">
        <v>300</v>
      </c>
      <c r="G42" s="199">
        <f t="shared" ref="G42" si="17">E42*F42</f>
        <v>75600</v>
      </c>
      <c r="H42" s="160">
        <f t="shared" ref="H42:H46" si="18">G42*1.23</f>
        <v>92988</v>
      </c>
      <c r="I42" s="1"/>
    </row>
    <row r="43" spans="2:9" s="69" customFormat="1" ht="12.75" x14ac:dyDescent="0.2">
      <c r="B43" s="191"/>
      <c r="C43" s="243" t="s">
        <v>119</v>
      </c>
      <c r="D43" s="136" t="s">
        <v>17</v>
      </c>
      <c r="E43" s="199">
        <f>200*2.83+252</f>
        <v>818</v>
      </c>
      <c r="F43" s="136">
        <v>40</v>
      </c>
      <c r="G43" s="199">
        <f t="shared" ref="G43:G44" si="19">E43*F43</f>
        <v>32720</v>
      </c>
      <c r="H43" s="160">
        <f t="shared" si="18"/>
        <v>40245.599999999999</v>
      </c>
      <c r="I43" s="1"/>
    </row>
    <row r="44" spans="2:9" s="69" customFormat="1" ht="12.75" x14ac:dyDescent="0.2">
      <c r="B44" s="191"/>
      <c r="C44" s="243" t="s">
        <v>142</v>
      </c>
      <c r="D44" s="136" t="s">
        <v>18</v>
      </c>
      <c r="E44" s="199">
        <v>1</v>
      </c>
      <c r="F44" s="136">
        <v>10000</v>
      </c>
      <c r="G44" s="199">
        <f t="shared" si="19"/>
        <v>10000</v>
      </c>
      <c r="H44" s="160">
        <f t="shared" si="18"/>
        <v>12300</v>
      </c>
      <c r="I44" s="1"/>
    </row>
    <row r="45" spans="2:9" s="69" customFormat="1" ht="12.75" x14ac:dyDescent="0.2">
      <c r="B45" s="191"/>
      <c r="C45" s="134" t="s">
        <v>133</v>
      </c>
      <c r="D45" s="143"/>
      <c r="E45" s="198"/>
      <c r="F45" s="143"/>
      <c r="G45" s="143"/>
      <c r="H45" s="160"/>
      <c r="I45" s="1"/>
    </row>
    <row r="46" spans="2:9" s="69" customFormat="1" ht="12.75" x14ac:dyDescent="0.2">
      <c r="B46" s="191"/>
      <c r="C46" s="243" t="s">
        <v>119</v>
      </c>
      <c r="D46" s="136" t="s">
        <v>17</v>
      </c>
      <c r="E46" s="199">
        <f>64+71*2.3</f>
        <v>227.29999999999998</v>
      </c>
      <c r="F46" s="136">
        <v>40</v>
      </c>
      <c r="G46" s="199">
        <f t="shared" ref="G46" si="20">E46*F46</f>
        <v>9092</v>
      </c>
      <c r="H46" s="160">
        <f t="shared" si="18"/>
        <v>11183.16</v>
      </c>
      <c r="I46" s="1"/>
    </row>
    <row r="47" spans="2:9" s="69" customFormat="1" ht="12.75" x14ac:dyDescent="0.2">
      <c r="B47" s="191"/>
      <c r="C47" s="243" t="s">
        <v>143</v>
      </c>
      <c r="D47" s="136" t="s">
        <v>17</v>
      </c>
      <c r="E47" s="199">
        <v>60</v>
      </c>
      <c r="F47" s="136">
        <v>250</v>
      </c>
      <c r="G47" s="199">
        <f t="shared" ref="G47" si="21">E47*F47</f>
        <v>15000</v>
      </c>
      <c r="H47" s="160">
        <f t="shared" ref="H47" si="22">G47*1.23</f>
        <v>18450</v>
      </c>
      <c r="I47" s="1"/>
    </row>
    <row r="48" spans="2:9" s="69" customFormat="1" ht="12.75" x14ac:dyDescent="0.2">
      <c r="B48" s="193" t="s">
        <v>26</v>
      </c>
      <c r="C48" s="202" t="s">
        <v>175</v>
      </c>
      <c r="D48" s="203"/>
      <c r="E48" s="203"/>
      <c r="F48" s="203"/>
      <c r="G48" s="203"/>
      <c r="H48" s="160"/>
      <c r="I48" s="76"/>
    </row>
    <row r="49" spans="2:9" s="69" customFormat="1" ht="25.5" x14ac:dyDescent="0.2">
      <c r="B49" s="193" t="s">
        <v>26</v>
      </c>
      <c r="C49" s="135" t="s">
        <v>50</v>
      </c>
      <c r="D49" s="178" t="s">
        <v>18</v>
      </c>
      <c r="E49" s="183" t="s">
        <v>26</v>
      </c>
      <c r="F49" s="180" t="s">
        <v>26</v>
      </c>
      <c r="G49" s="138" t="s">
        <v>26</v>
      </c>
      <c r="H49" s="160">
        <v>2460</v>
      </c>
      <c r="I49" s="71" t="s">
        <v>35</v>
      </c>
    </row>
    <row r="50" spans="2:9" s="69" customFormat="1" ht="28.15" thickBot="1" x14ac:dyDescent="0.35">
      <c r="B50" s="246" t="s">
        <v>26</v>
      </c>
      <c r="C50" s="166" t="s">
        <v>52</v>
      </c>
      <c r="D50" s="196" t="s">
        <v>18</v>
      </c>
      <c r="E50" s="247" t="s">
        <v>26</v>
      </c>
      <c r="F50" s="248" t="s">
        <v>26</v>
      </c>
      <c r="G50" s="248" t="s">
        <v>26</v>
      </c>
      <c r="H50" s="160">
        <v>142680</v>
      </c>
      <c r="I50" s="71" t="s">
        <v>35</v>
      </c>
    </row>
    <row r="51" spans="2:9" s="70" customFormat="1" thickBot="1" x14ac:dyDescent="0.35">
      <c r="B51" s="75"/>
      <c r="C51" s="3"/>
      <c r="E51" s="14"/>
      <c r="F51" s="4"/>
      <c r="G51" s="4"/>
      <c r="H51" s="242">
        <f>SUM(H4:H50)</f>
        <v>1508379.26</v>
      </c>
      <c r="I51" s="6"/>
    </row>
    <row r="52" spans="2:9" thickBot="1" x14ac:dyDescent="0.35">
      <c r="C52" s="104" t="s">
        <v>228</v>
      </c>
      <c r="D52" s="104"/>
      <c r="E52" s="105"/>
      <c r="F52" s="104"/>
      <c r="G52" s="104"/>
      <c r="H52" s="104"/>
    </row>
    <row r="53" spans="2:9" thickBot="1" x14ac:dyDescent="0.35">
      <c r="H53" s="84">
        <v>0</v>
      </c>
    </row>
    <row r="55" spans="2:9" x14ac:dyDescent="0.25">
      <c r="C55" s="104" t="s">
        <v>215</v>
      </c>
      <c r="D55" s="102"/>
      <c r="E55" s="103"/>
      <c r="F55" s="102"/>
      <c r="G55" s="102"/>
      <c r="H55" s="102"/>
    </row>
    <row r="56" spans="2:9" ht="14.45" x14ac:dyDescent="0.3">
      <c r="B56" s="129"/>
      <c r="C56" s="90" t="s">
        <v>217</v>
      </c>
      <c r="D56" s="90"/>
      <c r="E56" s="92"/>
      <c r="F56" s="90"/>
      <c r="G56" s="126">
        <f>H56/1.23</f>
        <v>3252.0325203252032</v>
      </c>
      <c r="H56" s="126">
        <v>4000</v>
      </c>
    </row>
    <row r="57" spans="2:9" ht="14.45" x14ac:dyDescent="0.3">
      <c r="B57" s="129"/>
      <c r="C57" s="90" t="s">
        <v>218</v>
      </c>
      <c r="D57" s="90"/>
      <c r="E57" s="92"/>
      <c r="F57" s="90"/>
      <c r="G57" s="126">
        <f>H57/1.23</f>
        <v>10569.105691056911</v>
      </c>
      <c r="H57" s="126">
        <v>13000</v>
      </c>
    </row>
    <row r="58" spans="2:9" ht="14.45" x14ac:dyDescent="0.3">
      <c r="B58" s="90"/>
      <c r="C58" s="90" t="s">
        <v>252</v>
      </c>
      <c r="D58" s="90"/>
      <c r="E58" s="92"/>
      <c r="F58" s="90"/>
      <c r="G58" s="126">
        <f>H58/1.23</f>
        <v>6910.5691056910573</v>
      </c>
      <c r="H58" s="126">
        <v>8500</v>
      </c>
    </row>
    <row r="59" spans="2:9" ht="14.45" x14ac:dyDescent="0.3">
      <c r="B59" s="90"/>
      <c r="C59" s="90" t="s">
        <v>253</v>
      </c>
      <c r="D59" s="90"/>
      <c r="E59" s="92"/>
      <c r="F59" s="90"/>
      <c r="G59" s="126">
        <f t="shared" ref="G59:G64" si="23">H59/1.23</f>
        <v>5040.6504065040654</v>
      </c>
      <c r="H59" s="126">
        <v>6200</v>
      </c>
    </row>
    <row r="60" spans="2:9" x14ac:dyDescent="0.25">
      <c r="B60" s="90"/>
      <c r="C60" s="90" t="s">
        <v>254</v>
      </c>
      <c r="D60" s="90"/>
      <c r="E60" s="92"/>
      <c r="F60" s="90"/>
      <c r="G60" s="126">
        <f t="shared" si="23"/>
        <v>4146.3414634146338</v>
      </c>
      <c r="H60" s="126">
        <v>5100</v>
      </c>
    </row>
    <row r="61" spans="2:9" x14ac:dyDescent="0.25">
      <c r="B61" s="90"/>
      <c r="C61" s="90" t="s">
        <v>255</v>
      </c>
      <c r="D61" s="90"/>
      <c r="E61" s="92"/>
      <c r="F61" s="90"/>
      <c r="G61" s="126">
        <f t="shared" si="23"/>
        <v>14634.146341463415</v>
      </c>
      <c r="H61" s="126">
        <v>18000</v>
      </c>
    </row>
    <row r="62" spans="2:9" ht="14.45" x14ac:dyDescent="0.3">
      <c r="B62" s="90"/>
      <c r="C62" s="127" t="s">
        <v>256</v>
      </c>
      <c r="D62" s="90"/>
      <c r="E62" s="92"/>
      <c r="F62" s="90"/>
      <c r="G62" s="126"/>
      <c r="H62" s="126"/>
    </row>
    <row r="63" spans="2:9" ht="14.45" x14ac:dyDescent="0.3">
      <c r="B63" s="90"/>
      <c r="C63" s="90" t="s">
        <v>257</v>
      </c>
      <c r="D63" s="90"/>
      <c r="E63" s="92"/>
      <c r="F63" s="90"/>
      <c r="G63" s="126">
        <f t="shared" si="23"/>
        <v>17073.170731707316</v>
      </c>
      <c r="H63" s="126">
        <v>21000</v>
      </c>
    </row>
    <row r="64" spans="2:9" x14ac:dyDescent="0.25">
      <c r="B64" s="90"/>
      <c r="C64" s="90" t="s">
        <v>258</v>
      </c>
      <c r="D64" s="90"/>
      <c r="E64" s="92"/>
      <c r="F64" s="90"/>
      <c r="G64" s="126">
        <f t="shared" si="23"/>
        <v>11219.512195121952</v>
      </c>
      <c r="H64" s="126">
        <v>13800</v>
      </c>
    </row>
    <row r="65" spans="3:8" thickBot="1" x14ac:dyDescent="0.35">
      <c r="C65" s="70"/>
      <c r="D65" s="70"/>
      <c r="F65" s="70"/>
      <c r="G65" s="120"/>
      <c r="H65" s="121">
        <f>SUM(H56:H64)</f>
        <v>89600</v>
      </c>
    </row>
  </sheetData>
  <mergeCells count="2">
    <mergeCell ref="B1:C1"/>
    <mergeCell ref="B3:C3"/>
  </mergeCells>
  <pageMargins left="0.7" right="0.7" top="0.75" bottom="0.75" header="0.3" footer="0.3"/>
  <pageSetup paperSize="9" scale="57" fitToHeight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1"/>
  <sheetViews>
    <sheetView view="pageBreakPreview" zoomScale="60" zoomScaleNormal="100" workbookViewId="0">
      <pane ySplit="4" topLeftCell="A14" activePane="bottomLeft" state="frozen"/>
      <selection pane="bottomLeft" activeCell="H14" sqref="H14"/>
    </sheetView>
  </sheetViews>
  <sheetFormatPr defaultRowHeight="15" x14ac:dyDescent="0.25"/>
  <cols>
    <col min="1" max="1" width="9.140625" style="70"/>
    <col min="2" max="2" width="1.85546875" style="72" customWidth="1"/>
    <col min="3" max="3" width="65" bestFit="1" customWidth="1"/>
    <col min="4" max="4" width="13.140625" customWidth="1"/>
    <col min="5" max="5" width="13.140625" style="14" customWidth="1"/>
    <col min="6" max="6" width="13.140625" customWidth="1"/>
    <col min="7" max="8" width="14.140625" bestFit="1" customWidth="1"/>
    <col min="9" max="9" width="13.140625" style="6" customWidth="1"/>
  </cols>
  <sheetData>
    <row r="1" spans="2:9" s="73" customFormat="1" ht="14.45" x14ac:dyDescent="0.3">
      <c r="B1" s="74"/>
      <c r="E1" s="79"/>
      <c r="I1" s="80"/>
    </row>
    <row r="2" spans="2:9" s="73" customFormat="1" x14ac:dyDescent="0.25">
      <c r="B2" s="74"/>
      <c r="C2" s="3" t="s">
        <v>30</v>
      </c>
      <c r="E2" s="79"/>
      <c r="I2" s="80"/>
    </row>
    <row r="3" spans="2:9" s="73" customFormat="1" thickBot="1" x14ac:dyDescent="0.35">
      <c r="B3" s="74"/>
      <c r="E3" s="79"/>
      <c r="I3" s="80"/>
    </row>
    <row r="4" spans="2:9" s="69" customFormat="1" ht="26.25" thickBot="1" x14ac:dyDescent="0.25">
      <c r="B4" s="130"/>
      <c r="C4" s="131" t="s">
        <v>0</v>
      </c>
      <c r="D4" s="100" t="s">
        <v>1</v>
      </c>
      <c r="E4" s="88" t="s">
        <v>2</v>
      </c>
      <c r="F4" s="100" t="s">
        <v>3</v>
      </c>
      <c r="G4" s="100" t="s">
        <v>4</v>
      </c>
      <c r="H4" s="89" t="s">
        <v>5</v>
      </c>
      <c r="I4" s="1"/>
    </row>
    <row r="5" spans="2:9" s="69" customFormat="1" ht="13.9" x14ac:dyDescent="0.3">
      <c r="B5" s="155"/>
      <c r="C5" s="156" t="s">
        <v>92</v>
      </c>
      <c r="D5" s="156"/>
      <c r="E5" s="157"/>
      <c r="F5" s="156"/>
      <c r="G5" s="156"/>
      <c r="H5" s="158"/>
      <c r="I5" s="1"/>
    </row>
    <row r="6" spans="2:9" s="69" customFormat="1" ht="25.5" x14ac:dyDescent="0.2">
      <c r="B6" s="159" t="s">
        <v>26</v>
      </c>
      <c r="C6" s="135" t="s">
        <v>62</v>
      </c>
      <c r="D6" s="136" t="s">
        <v>18</v>
      </c>
      <c r="E6" s="137" t="s">
        <v>26</v>
      </c>
      <c r="F6" s="133" t="s">
        <v>26</v>
      </c>
      <c r="G6" s="138" t="s">
        <v>26</v>
      </c>
      <c r="H6" s="160">
        <v>61450.8</v>
      </c>
      <c r="I6" s="71" t="s">
        <v>35</v>
      </c>
    </row>
    <row r="7" spans="2:9" s="69" customFormat="1" ht="13.9" x14ac:dyDescent="0.3">
      <c r="B7" s="159"/>
      <c r="C7" s="135" t="s">
        <v>213</v>
      </c>
      <c r="D7" s="139" t="s">
        <v>19</v>
      </c>
      <c r="E7" s="140">
        <v>70</v>
      </c>
      <c r="F7" s="140">
        <v>120</v>
      </c>
      <c r="G7" s="138">
        <f>E7*F7</f>
        <v>8400</v>
      </c>
      <c r="H7" s="160">
        <f>G7*1.23</f>
        <v>10332</v>
      </c>
    </row>
    <row r="8" spans="2:9" s="69" customFormat="1" ht="27.6" x14ac:dyDescent="0.3">
      <c r="B8" s="159"/>
      <c r="C8" s="135" t="s">
        <v>48</v>
      </c>
      <c r="D8" s="136" t="s">
        <v>18</v>
      </c>
      <c r="E8" s="137" t="s">
        <v>26</v>
      </c>
      <c r="F8" s="133" t="s">
        <v>26</v>
      </c>
      <c r="G8" s="138" t="s">
        <v>26</v>
      </c>
      <c r="H8" s="160">
        <f>89612.88+19837.44</f>
        <v>109450.32</v>
      </c>
      <c r="I8" s="71" t="s">
        <v>35</v>
      </c>
    </row>
    <row r="9" spans="2:9" s="69" customFormat="1" ht="12.75" x14ac:dyDescent="0.2">
      <c r="B9" s="159"/>
      <c r="C9" s="135" t="s">
        <v>127</v>
      </c>
      <c r="D9" s="141" t="s">
        <v>17</v>
      </c>
      <c r="E9" s="140">
        <v>150</v>
      </c>
      <c r="F9" s="140">
        <v>120</v>
      </c>
      <c r="G9" s="138">
        <f>E9*F9</f>
        <v>18000</v>
      </c>
      <c r="H9" s="160">
        <f>G9*1.23</f>
        <v>22140</v>
      </c>
    </row>
    <row r="10" spans="2:9" s="69" customFormat="1" ht="13.9" x14ac:dyDescent="0.3">
      <c r="B10" s="159"/>
      <c r="C10" s="135" t="s">
        <v>60</v>
      </c>
      <c r="D10" s="136" t="s">
        <v>18</v>
      </c>
      <c r="E10" s="137" t="s">
        <v>26</v>
      </c>
      <c r="F10" s="133" t="s">
        <v>26</v>
      </c>
      <c r="G10" s="138">
        <v>10000</v>
      </c>
      <c r="H10" s="160">
        <f>G10*1.23</f>
        <v>12300</v>
      </c>
    </row>
    <row r="11" spans="2:9" s="69" customFormat="1" ht="25.5" x14ac:dyDescent="0.2">
      <c r="B11" s="159"/>
      <c r="C11" s="172" t="s">
        <v>57</v>
      </c>
      <c r="D11" s="173" t="s">
        <v>18</v>
      </c>
      <c r="E11" s="174" t="s">
        <v>26</v>
      </c>
      <c r="F11" s="148" t="s">
        <v>26</v>
      </c>
      <c r="G11" s="175" t="s">
        <v>26</v>
      </c>
      <c r="H11" s="176">
        <v>35424</v>
      </c>
      <c r="I11" s="71" t="s">
        <v>35</v>
      </c>
    </row>
    <row r="12" spans="2:9" s="69" customFormat="1" ht="27.6" x14ac:dyDescent="0.3">
      <c r="B12" s="159" t="s">
        <v>26</v>
      </c>
      <c r="C12" s="135" t="s">
        <v>55</v>
      </c>
      <c r="D12" s="136" t="s">
        <v>18</v>
      </c>
      <c r="E12" s="137" t="s">
        <v>26</v>
      </c>
      <c r="F12" s="133" t="s">
        <v>26</v>
      </c>
      <c r="G12" s="138" t="s">
        <v>26</v>
      </c>
      <c r="H12" s="160">
        <v>20860.8</v>
      </c>
      <c r="I12" s="71" t="s">
        <v>35</v>
      </c>
    </row>
    <row r="13" spans="2:9" s="69" customFormat="1" ht="13.9" x14ac:dyDescent="0.3">
      <c r="B13" s="159"/>
      <c r="C13" s="135" t="s">
        <v>280</v>
      </c>
      <c r="D13" s="136"/>
      <c r="E13" s="137"/>
      <c r="F13" s="133"/>
      <c r="G13" s="138"/>
      <c r="H13" s="160">
        <v>1623.6</v>
      </c>
      <c r="I13" s="71"/>
    </row>
    <row r="14" spans="2:9" s="69" customFormat="1" ht="13.9" x14ac:dyDescent="0.3">
      <c r="B14" s="159"/>
      <c r="C14" s="135" t="s">
        <v>281</v>
      </c>
      <c r="D14" s="136"/>
      <c r="E14" s="137"/>
      <c r="F14" s="133"/>
      <c r="G14" s="138"/>
      <c r="H14" s="160">
        <v>1948.32</v>
      </c>
      <c r="I14" s="71"/>
    </row>
    <row r="15" spans="2:9" s="69" customFormat="1" ht="12.75" x14ac:dyDescent="0.2">
      <c r="B15" s="159"/>
      <c r="C15" s="135" t="s">
        <v>220</v>
      </c>
      <c r="D15" s="136" t="s">
        <v>17</v>
      </c>
      <c r="E15" s="137">
        <v>120</v>
      </c>
      <c r="F15" s="133">
        <v>400</v>
      </c>
      <c r="G15" s="138">
        <f>E15*F15</f>
        <v>48000</v>
      </c>
      <c r="H15" s="160">
        <f>G15*1.23</f>
        <v>59040</v>
      </c>
      <c r="I15" s="71"/>
    </row>
    <row r="16" spans="2:9" s="69" customFormat="1" ht="13.9" x14ac:dyDescent="0.3">
      <c r="B16" s="159"/>
      <c r="C16" s="142" t="s">
        <v>99</v>
      </c>
      <c r="D16" s="143"/>
      <c r="E16" s="144"/>
      <c r="F16" s="145"/>
      <c r="G16" s="146"/>
      <c r="H16" s="161"/>
      <c r="I16" s="71"/>
    </row>
    <row r="17" spans="2:9" s="69" customFormat="1" ht="12.75" x14ac:dyDescent="0.2">
      <c r="B17" s="159"/>
      <c r="C17" s="135" t="s">
        <v>53</v>
      </c>
      <c r="D17" s="136" t="s">
        <v>17</v>
      </c>
      <c r="E17" s="137">
        <v>521.70000000000005</v>
      </c>
      <c r="F17" s="133">
        <v>15</v>
      </c>
      <c r="G17" s="138">
        <f>E17*F17</f>
        <v>7825.5000000000009</v>
      </c>
      <c r="H17" s="160">
        <f>G17*1.23</f>
        <v>9625.3650000000016</v>
      </c>
      <c r="I17" s="71"/>
    </row>
    <row r="18" spans="2:9" s="69" customFormat="1" ht="27.6" x14ac:dyDescent="0.3">
      <c r="B18" s="159"/>
      <c r="C18" s="135" t="s">
        <v>54</v>
      </c>
      <c r="D18" s="136" t="s">
        <v>18</v>
      </c>
      <c r="E18" s="137" t="s">
        <v>26</v>
      </c>
      <c r="F18" s="133" t="s">
        <v>26</v>
      </c>
      <c r="G18" s="138" t="s">
        <v>26</v>
      </c>
      <c r="H18" s="160">
        <v>83419.83</v>
      </c>
      <c r="I18" s="71" t="s">
        <v>35</v>
      </c>
    </row>
    <row r="19" spans="2:9" s="69" customFormat="1" ht="13.9" x14ac:dyDescent="0.3">
      <c r="B19" s="159"/>
      <c r="C19" s="142" t="s">
        <v>132</v>
      </c>
      <c r="D19" s="143"/>
      <c r="E19" s="144"/>
      <c r="F19" s="145"/>
      <c r="G19" s="146"/>
      <c r="H19" s="161"/>
      <c r="I19" s="71"/>
    </row>
    <row r="20" spans="2:9" s="69" customFormat="1" ht="13.9" x14ac:dyDescent="0.3">
      <c r="B20" s="159"/>
      <c r="C20" s="135" t="s">
        <v>223</v>
      </c>
      <c r="D20" s="136" t="s">
        <v>89</v>
      </c>
      <c r="E20" s="137"/>
      <c r="F20" s="133"/>
      <c r="G20" s="138">
        <v>8000</v>
      </c>
      <c r="H20" s="160">
        <f>G20*1.23</f>
        <v>9840</v>
      </c>
      <c r="I20" s="1"/>
    </row>
    <row r="21" spans="2:9" s="69" customFormat="1" ht="13.9" x14ac:dyDescent="0.3">
      <c r="B21" s="159"/>
      <c r="C21" s="135" t="s">
        <v>279</v>
      </c>
      <c r="D21" s="136" t="s">
        <v>89</v>
      </c>
      <c r="E21" s="137">
        <v>1</v>
      </c>
      <c r="F21" s="133">
        <v>20000</v>
      </c>
      <c r="G21" s="138">
        <f>E21*F21</f>
        <v>20000</v>
      </c>
      <c r="H21" s="160">
        <f>G21*1.23</f>
        <v>24600</v>
      </c>
      <c r="I21" s="1"/>
    </row>
    <row r="22" spans="2:9" s="69" customFormat="1" ht="13.9" x14ac:dyDescent="0.3">
      <c r="B22" s="159"/>
      <c r="C22" s="142" t="s">
        <v>93</v>
      </c>
      <c r="D22" s="143"/>
      <c r="E22" s="144"/>
      <c r="F22" s="145"/>
      <c r="G22" s="146"/>
      <c r="H22" s="161"/>
      <c r="I22" s="1"/>
    </row>
    <row r="23" spans="2:9" s="69" customFormat="1" ht="13.9" x14ac:dyDescent="0.3">
      <c r="B23" s="159" t="s">
        <v>26</v>
      </c>
      <c r="C23" s="135" t="s">
        <v>221</v>
      </c>
      <c r="D23" s="136" t="s">
        <v>17</v>
      </c>
      <c r="E23" s="137">
        <v>225.95</v>
      </c>
      <c r="F23" s="133">
        <v>250</v>
      </c>
      <c r="G23" s="138">
        <f>E23*F23</f>
        <v>56487.5</v>
      </c>
      <c r="H23" s="160">
        <f t="shared" ref="H23:H28" si="0">G23*1.23</f>
        <v>69479.625</v>
      </c>
    </row>
    <row r="24" spans="2:9" s="69" customFormat="1" ht="13.9" x14ac:dyDescent="0.3">
      <c r="B24" s="159"/>
      <c r="C24" s="135" t="s">
        <v>222</v>
      </c>
      <c r="D24" s="136" t="s">
        <v>17</v>
      </c>
      <c r="E24" s="137">
        <v>140</v>
      </c>
      <c r="F24" s="133">
        <v>300</v>
      </c>
      <c r="G24" s="138">
        <f>E24*F24</f>
        <v>42000</v>
      </c>
      <c r="H24" s="160">
        <f t="shared" si="0"/>
        <v>51660</v>
      </c>
    </row>
    <row r="25" spans="2:9" s="69" customFormat="1" ht="13.9" x14ac:dyDescent="0.3">
      <c r="B25" s="159"/>
      <c r="C25" s="135" t="s">
        <v>227</v>
      </c>
      <c r="D25" s="136" t="s">
        <v>17</v>
      </c>
      <c r="E25" s="137">
        <v>77</v>
      </c>
      <c r="F25" s="133">
        <v>100</v>
      </c>
      <c r="G25" s="138">
        <f>E25*F25</f>
        <v>7700</v>
      </c>
      <c r="H25" s="160">
        <f t="shared" si="0"/>
        <v>9471</v>
      </c>
    </row>
    <row r="26" spans="2:9" s="69" customFormat="1" ht="12.75" x14ac:dyDescent="0.2">
      <c r="B26" s="159"/>
      <c r="C26" s="135" t="s">
        <v>224</v>
      </c>
      <c r="D26" s="136" t="s">
        <v>18</v>
      </c>
      <c r="E26" s="137">
        <v>1</v>
      </c>
      <c r="F26" s="133">
        <v>12000</v>
      </c>
      <c r="G26" s="138">
        <f>E26*F26</f>
        <v>12000</v>
      </c>
      <c r="H26" s="160">
        <f t="shared" si="0"/>
        <v>14760</v>
      </c>
    </row>
    <row r="27" spans="2:9" s="69" customFormat="1" ht="25.5" x14ac:dyDescent="0.2">
      <c r="B27" s="159"/>
      <c r="C27" s="135" t="s">
        <v>225</v>
      </c>
      <c r="D27" s="136" t="s">
        <v>18</v>
      </c>
      <c r="E27" s="137" t="s">
        <v>26</v>
      </c>
      <c r="F27" s="133" t="s">
        <v>26</v>
      </c>
      <c r="G27" s="138">
        <v>50000</v>
      </c>
      <c r="H27" s="160">
        <f t="shared" si="0"/>
        <v>61500</v>
      </c>
      <c r="I27" s="71"/>
    </row>
    <row r="28" spans="2:9" s="69" customFormat="1" ht="12.75" x14ac:dyDescent="0.2">
      <c r="B28" s="159"/>
      <c r="C28" s="135" t="s">
        <v>214</v>
      </c>
      <c r="D28" s="136" t="s">
        <v>18</v>
      </c>
      <c r="E28" s="137" t="s">
        <v>26</v>
      </c>
      <c r="F28" s="133" t="s">
        <v>26</v>
      </c>
      <c r="G28" s="138">
        <v>80000</v>
      </c>
      <c r="H28" s="160">
        <f t="shared" si="0"/>
        <v>98400</v>
      </c>
      <c r="I28" s="71"/>
    </row>
    <row r="29" spans="2:9" s="69" customFormat="1" ht="13.9" x14ac:dyDescent="0.3">
      <c r="B29" s="159"/>
      <c r="C29" s="142" t="s">
        <v>116</v>
      </c>
      <c r="D29" s="143"/>
      <c r="E29" s="144"/>
      <c r="F29" s="145"/>
      <c r="G29" s="146"/>
      <c r="H29" s="161"/>
      <c r="I29" s="71"/>
    </row>
    <row r="30" spans="2:9" s="69" customFormat="1" ht="25.5" x14ac:dyDescent="0.2">
      <c r="B30" s="159" t="s">
        <v>26</v>
      </c>
      <c r="C30" s="135" t="s">
        <v>64</v>
      </c>
      <c r="D30" s="136" t="s">
        <v>18</v>
      </c>
      <c r="E30" s="137" t="s">
        <v>26</v>
      </c>
      <c r="F30" s="133" t="s">
        <v>26</v>
      </c>
      <c r="G30" s="138">
        <v>20000</v>
      </c>
      <c r="H30" s="160">
        <f>G30*1.23</f>
        <v>24600</v>
      </c>
    </row>
    <row r="31" spans="2:9" s="69" customFormat="1" ht="12.75" x14ac:dyDescent="0.2">
      <c r="B31" s="159"/>
      <c r="C31" s="142" t="s">
        <v>175</v>
      </c>
      <c r="D31" s="143"/>
      <c r="E31" s="144"/>
      <c r="F31" s="145"/>
      <c r="G31" s="146"/>
      <c r="H31" s="161"/>
      <c r="I31" s="71"/>
    </row>
    <row r="32" spans="2:9" s="69" customFormat="1" ht="27.6" x14ac:dyDescent="0.3">
      <c r="B32" s="159" t="s">
        <v>26</v>
      </c>
      <c r="C32" s="135" t="s">
        <v>63</v>
      </c>
      <c r="D32" s="136" t="s">
        <v>18</v>
      </c>
      <c r="E32" s="137" t="s">
        <v>26</v>
      </c>
      <c r="F32" s="133" t="s">
        <v>26</v>
      </c>
      <c r="G32" s="138" t="s">
        <v>26</v>
      </c>
      <c r="H32" s="160">
        <v>85854</v>
      </c>
      <c r="I32" s="71" t="s">
        <v>35</v>
      </c>
    </row>
    <row r="33" spans="2:16" s="69" customFormat="1" ht="12.75" x14ac:dyDescent="0.2">
      <c r="B33" s="159"/>
      <c r="C33" s="135" t="s">
        <v>56</v>
      </c>
      <c r="D33" s="136" t="s">
        <v>17</v>
      </c>
      <c r="E33" s="137">
        <v>65</v>
      </c>
      <c r="F33" s="133">
        <v>1000</v>
      </c>
      <c r="G33" s="138">
        <f>E33*F33</f>
        <v>65000</v>
      </c>
      <c r="H33" s="160">
        <f t="shared" ref="H33:H37" si="1">G33*1.23</f>
        <v>79950</v>
      </c>
    </row>
    <row r="34" spans="2:16" s="69" customFormat="1" ht="12.75" x14ac:dyDescent="0.2">
      <c r="B34" s="159"/>
      <c r="C34" s="135" t="s">
        <v>59</v>
      </c>
      <c r="D34" s="136" t="s">
        <v>18</v>
      </c>
      <c r="E34" s="137" t="s">
        <v>26</v>
      </c>
      <c r="F34" s="133" t="s">
        <v>26</v>
      </c>
      <c r="G34" s="138">
        <v>200000</v>
      </c>
      <c r="H34" s="160">
        <f t="shared" si="1"/>
        <v>246000</v>
      </c>
    </row>
    <row r="35" spans="2:16" s="69" customFormat="1" ht="12.75" x14ac:dyDescent="0.2">
      <c r="B35" s="159"/>
      <c r="C35" s="135" t="s">
        <v>61</v>
      </c>
      <c r="D35" s="136" t="s">
        <v>17</v>
      </c>
      <c r="E35" s="137">
        <v>800</v>
      </c>
      <c r="F35" s="133">
        <v>150</v>
      </c>
      <c r="G35" s="138">
        <f>E35*F35</f>
        <v>120000</v>
      </c>
      <c r="H35" s="160">
        <f t="shared" si="1"/>
        <v>147600</v>
      </c>
    </row>
    <row r="36" spans="2:16" s="69" customFormat="1" ht="13.9" x14ac:dyDescent="0.3">
      <c r="B36" s="159"/>
      <c r="C36" s="135" t="s">
        <v>226</v>
      </c>
      <c r="D36" s="136" t="s">
        <v>18</v>
      </c>
      <c r="E36" s="137">
        <v>1</v>
      </c>
      <c r="F36" s="133">
        <v>45000</v>
      </c>
      <c r="G36" s="138">
        <f>E36*F36</f>
        <v>45000</v>
      </c>
      <c r="H36" s="160">
        <f t="shared" si="1"/>
        <v>55350</v>
      </c>
    </row>
    <row r="37" spans="2:16" s="69" customFormat="1" ht="12.75" x14ac:dyDescent="0.2">
      <c r="B37" s="159"/>
      <c r="C37" s="135" t="s">
        <v>32</v>
      </c>
      <c r="D37" s="136" t="s">
        <v>17</v>
      </c>
      <c r="E37" s="137">
        <v>3500</v>
      </c>
      <c r="F37" s="148">
        <v>40</v>
      </c>
      <c r="G37" s="138">
        <f>E37*F37</f>
        <v>140000</v>
      </c>
      <c r="H37" s="160">
        <f t="shared" si="1"/>
        <v>172200</v>
      </c>
    </row>
    <row r="38" spans="2:16" s="69" customFormat="1" ht="14.45" x14ac:dyDescent="0.3">
      <c r="B38" s="159"/>
      <c r="C38" s="149" t="s">
        <v>154</v>
      </c>
      <c r="D38" s="150" t="s">
        <v>18</v>
      </c>
      <c r="E38" s="92"/>
      <c r="F38" s="90"/>
      <c r="G38" s="138">
        <v>25000</v>
      </c>
      <c r="H38" s="160">
        <f t="shared" ref="H38" si="2">G38*1.23</f>
        <v>30750</v>
      </c>
    </row>
    <row r="39" spans="2:16" s="82" customFormat="1" ht="55.15" x14ac:dyDescent="0.3">
      <c r="B39" s="163" t="s">
        <v>26</v>
      </c>
      <c r="C39" s="152" t="s">
        <v>73</v>
      </c>
      <c r="D39" s="150" t="s">
        <v>18</v>
      </c>
      <c r="E39" s="153" t="s">
        <v>26</v>
      </c>
      <c r="F39" s="151" t="s">
        <v>26</v>
      </c>
      <c r="G39" s="154">
        <v>87000</v>
      </c>
      <c r="H39" s="164">
        <f>G39*1.23</f>
        <v>107010</v>
      </c>
      <c r="I39" s="81" t="s">
        <v>74</v>
      </c>
    </row>
    <row r="40" spans="2:16" s="69" customFormat="1" ht="14.45" thickBot="1" x14ac:dyDescent="0.35">
      <c r="B40" s="165" t="s">
        <v>26</v>
      </c>
      <c r="C40" s="166" t="s">
        <v>58</v>
      </c>
      <c r="D40" s="167" t="s">
        <v>18</v>
      </c>
      <c r="E40" s="168" t="s">
        <v>26</v>
      </c>
      <c r="F40" s="169" t="s">
        <v>26</v>
      </c>
      <c r="G40" s="170">
        <v>58000</v>
      </c>
      <c r="H40" s="171">
        <f>G40*1.23</f>
        <v>71340</v>
      </c>
      <c r="I40" s="1"/>
    </row>
    <row r="41" spans="2:16" s="69" customFormat="1" ht="13.5" thickBot="1" x14ac:dyDescent="0.25">
      <c r="B41" s="78"/>
      <c r="C41" s="67"/>
      <c r="D41" s="2"/>
      <c r="E41" s="13"/>
      <c r="F41" s="2"/>
      <c r="G41" s="2"/>
      <c r="H41" s="132">
        <f>SUM(H6:H40)</f>
        <v>1787979.66</v>
      </c>
      <c r="I41" s="1"/>
    </row>
    <row r="43" spans="2:16" thickBot="1" x14ac:dyDescent="0.35">
      <c r="C43" s="104" t="s">
        <v>228</v>
      </c>
      <c r="D43" s="104"/>
      <c r="E43" s="105"/>
      <c r="F43" s="104"/>
      <c r="G43" s="104"/>
      <c r="H43" s="104"/>
    </row>
    <row r="44" spans="2:16" thickBot="1" x14ac:dyDescent="0.35">
      <c r="H44" s="84">
        <v>0</v>
      </c>
    </row>
    <row r="45" spans="2:16" s="70" customFormat="1" ht="14.45" x14ac:dyDescent="0.3">
      <c r="B45" s="72"/>
      <c r="E45" s="14"/>
      <c r="H45" s="6"/>
      <c r="I45" s="6"/>
    </row>
    <row r="46" spans="2:16" x14ac:dyDescent="0.25">
      <c r="B46" s="252"/>
      <c r="C46" s="270" t="s">
        <v>215</v>
      </c>
      <c r="D46" s="249"/>
      <c r="E46" s="253"/>
      <c r="F46" s="249"/>
      <c r="G46" s="249"/>
      <c r="H46" s="249"/>
      <c r="J46" s="70"/>
      <c r="K46" s="70"/>
      <c r="L46" s="70"/>
      <c r="M46" s="70"/>
      <c r="N46" s="70"/>
      <c r="O46" s="70"/>
      <c r="P46" s="70"/>
    </row>
    <row r="47" spans="2:16" ht="14.45" x14ac:dyDescent="0.3">
      <c r="B47" s="264">
        <v>1</v>
      </c>
      <c r="C47" s="265" t="s">
        <v>269</v>
      </c>
      <c r="D47" s="266"/>
      <c r="E47" s="266"/>
      <c r="F47" s="266"/>
      <c r="G47" s="266"/>
      <c r="H47" s="266"/>
      <c r="J47" s="70"/>
      <c r="K47" s="70"/>
      <c r="L47" s="70"/>
      <c r="M47" s="70"/>
      <c r="N47" s="70"/>
      <c r="O47" s="70"/>
      <c r="P47" s="70"/>
    </row>
    <row r="48" spans="2:16" x14ac:dyDescent="0.25">
      <c r="B48" s="264"/>
      <c r="C48" s="266" t="s">
        <v>259</v>
      </c>
      <c r="D48" s="266"/>
      <c r="E48" s="266"/>
      <c r="F48" s="266"/>
      <c r="G48" s="267">
        <f t="shared" ref="G48:G60" si="3">H48/1.23</f>
        <v>6198.3739837398371</v>
      </c>
      <c r="H48" s="267">
        <v>7624</v>
      </c>
      <c r="J48" s="70"/>
      <c r="K48" s="70"/>
      <c r="L48" s="70"/>
      <c r="M48" s="70"/>
      <c r="N48" s="70"/>
      <c r="O48" s="70"/>
      <c r="P48" s="70"/>
    </row>
    <row r="49" spans="2:16" ht="14.45" x14ac:dyDescent="0.3">
      <c r="B49" s="264"/>
      <c r="C49" s="266" t="s">
        <v>260</v>
      </c>
      <c r="D49" s="266"/>
      <c r="E49" s="266"/>
      <c r="F49" s="266"/>
      <c r="G49" s="267">
        <f t="shared" si="3"/>
        <v>689.43089430894315</v>
      </c>
      <c r="H49" s="267">
        <v>848</v>
      </c>
      <c r="J49" s="70"/>
      <c r="K49" s="70"/>
      <c r="L49" s="70"/>
      <c r="M49" s="70"/>
      <c r="N49" s="70"/>
      <c r="O49" s="70"/>
      <c r="P49" s="70"/>
    </row>
    <row r="50" spans="2:16" ht="14.45" x14ac:dyDescent="0.3">
      <c r="B50" s="264"/>
      <c r="C50" s="266" t="s">
        <v>261</v>
      </c>
      <c r="D50" s="266"/>
      <c r="E50" s="266"/>
      <c r="F50" s="266"/>
      <c r="G50" s="267">
        <f t="shared" si="3"/>
        <v>1626.0162601626016</v>
      </c>
      <c r="H50" s="267">
        <v>2000</v>
      </c>
      <c r="J50" s="70"/>
      <c r="K50" s="70"/>
      <c r="L50" s="70"/>
      <c r="M50" s="70"/>
      <c r="N50" s="70"/>
      <c r="O50" s="70"/>
      <c r="P50" s="70"/>
    </row>
    <row r="51" spans="2:16" x14ac:dyDescent="0.25">
      <c r="B51" s="264"/>
      <c r="C51" s="266" t="s">
        <v>262</v>
      </c>
      <c r="D51" s="266"/>
      <c r="E51" s="266"/>
      <c r="F51" s="266"/>
      <c r="G51" s="267">
        <f t="shared" si="3"/>
        <v>2781.3008130081303</v>
      </c>
      <c r="H51" s="267">
        <v>3421</v>
      </c>
      <c r="J51" s="70"/>
      <c r="K51" s="70"/>
      <c r="L51" s="70"/>
      <c r="M51" s="70"/>
      <c r="N51" s="70"/>
      <c r="O51" s="70"/>
      <c r="P51" s="70"/>
    </row>
    <row r="52" spans="2:16" ht="14.45" x14ac:dyDescent="0.3">
      <c r="B52" s="264"/>
      <c r="C52" s="266" t="s">
        <v>263</v>
      </c>
      <c r="D52" s="266"/>
      <c r="E52" s="266"/>
      <c r="F52" s="266"/>
      <c r="G52" s="267">
        <f t="shared" si="3"/>
        <v>3573.9837398373984</v>
      </c>
      <c r="H52" s="267">
        <v>4396</v>
      </c>
      <c r="J52" s="70"/>
      <c r="K52" s="70"/>
      <c r="L52" s="70"/>
      <c r="M52" s="70"/>
      <c r="N52" s="70"/>
      <c r="O52" s="70"/>
      <c r="P52" s="70"/>
    </row>
    <row r="53" spans="2:16" x14ac:dyDescent="0.25">
      <c r="B53" s="264"/>
      <c r="C53" s="266" t="s">
        <v>264</v>
      </c>
      <c r="D53" s="266"/>
      <c r="E53" s="266"/>
      <c r="F53" s="266"/>
      <c r="G53" s="267">
        <f t="shared" si="3"/>
        <v>2439.0243902439024</v>
      </c>
      <c r="H53" s="267">
        <v>3000</v>
      </c>
      <c r="J53" s="70"/>
      <c r="K53" s="70"/>
      <c r="L53" s="70"/>
      <c r="M53" s="70"/>
      <c r="N53" s="70"/>
      <c r="O53" s="70"/>
      <c r="P53" s="70"/>
    </row>
    <row r="54" spans="2:16" ht="14.45" x14ac:dyDescent="0.3">
      <c r="B54" s="264"/>
      <c r="C54" s="266" t="s">
        <v>284</v>
      </c>
      <c r="D54" s="266"/>
      <c r="E54" s="266"/>
      <c r="F54" s="266"/>
      <c r="G54" s="267">
        <f t="shared" si="3"/>
        <v>2642.2764227642278</v>
      </c>
      <c r="H54" s="267">
        <v>3250</v>
      </c>
      <c r="J54" s="70"/>
      <c r="K54" s="70"/>
      <c r="L54" s="70"/>
      <c r="M54" s="70"/>
      <c r="N54" s="70"/>
      <c r="O54" s="70"/>
      <c r="P54" s="70"/>
    </row>
    <row r="55" spans="2:16" x14ac:dyDescent="0.25">
      <c r="B55" s="264"/>
      <c r="C55" s="266" t="s">
        <v>265</v>
      </c>
      <c r="D55" s="266"/>
      <c r="E55" s="266"/>
      <c r="F55" s="266"/>
      <c r="G55" s="267">
        <f t="shared" si="3"/>
        <v>7317.0731707317073</v>
      </c>
      <c r="H55" s="267">
        <v>9000</v>
      </c>
      <c r="J55" s="70"/>
      <c r="K55" s="70"/>
      <c r="L55" s="70"/>
      <c r="M55" s="70"/>
      <c r="N55" s="70"/>
      <c r="O55" s="70"/>
      <c r="P55" s="70"/>
    </row>
    <row r="56" spans="2:16" x14ac:dyDescent="0.25">
      <c r="B56" s="264"/>
      <c r="C56" s="266" t="s">
        <v>266</v>
      </c>
      <c r="D56" s="266"/>
      <c r="E56" s="266"/>
      <c r="F56" s="266"/>
      <c r="G56" s="267">
        <f t="shared" si="3"/>
        <v>650.40650406504062</v>
      </c>
      <c r="H56" s="267">
        <v>800</v>
      </c>
      <c r="J56" s="70"/>
      <c r="K56" s="70"/>
      <c r="L56" s="70"/>
      <c r="M56" s="70"/>
      <c r="N56" s="70"/>
      <c r="O56" s="70"/>
      <c r="P56" s="70"/>
    </row>
    <row r="57" spans="2:16" x14ac:dyDescent="0.25">
      <c r="B57" s="264"/>
      <c r="C57" s="266" t="s">
        <v>267</v>
      </c>
      <c r="D57" s="266"/>
      <c r="E57" s="266"/>
      <c r="F57" s="266"/>
      <c r="G57" s="267">
        <f t="shared" si="3"/>
        <v>1138.2113821138212</v>
      </c>
      <c r="H57" s="267">
        <v>1400</v>
      </c>
      <c r="J57" s="70"/>
      <c r="K57" s="70"/>
      <c r="L57" s="70"/>
      <c r="M57" s="70"/>
      <c r="N57" s="70"/>
      <c r="O57" s="70"/>
      <c r="P57" s="70"/>
    </row>
    <row r="58" spans="2:16" s="70" customFormat="1" ht="14.45" x14ac:dyDescent="0.3">
      <c r="B58" s="264"/>
      <c r="C58" s="266" t="s">
        <v>271</v>
      </c>
      <c r="D58" s="266"/>
      <c r="E58" s="266"/>
      <c r="F58" s="266"/>
      <c r="G58" s="267">
        <f t="shared" si="3"/>
        <v>3252.0325203252032</v>
      </c>
      <c r="H58" s="267">
        <v>4000</v>
      </c>
      <c r="I58" s="6"/>
    </row>
    <row r="59" spans="2:16" s="70" customFormat="1" x14ac:dyDescent="0.25">
      <c r="B59" s="264"/>
      <c r="C59" s="266" t="s">
        <v>272</v>
      </c>
      <c r="D59" s="266"/>
      <c r="E59" s="266"/>
      <c r="F59" s="266"/>
      <c r="G59" s="267">
        <f t="shared" si="3"/>
        <v>4065.040650406504</v>
      </c>
      <c r="H59" s="267">
        <v>5000</v>
      </c>
      <c r="I59" s="6"/>
    </row>
    <row r="60" spans="2:16" s="70" customFormat="1" ht="14.45" x14ac:dyDescent="0.3">
      <c r="B60" s="264"/>
      <c r="C60" s="266" t="s">
        <v>285</v>
      </c>
      <c r="D60" s="266"/>
      <c r="E60" s="266"/>
      <c r="F60" s="266"/>
      <c r="G60" s="267">
        <f t="shared" si="3"/>
        <v>2439.0243902439024</v>
      </c>
      <c r="H60" s="267">
        <v>3000</v>
      </c>
      <c r="I60" s="6"/>
    </row>
    <row r="61" spans="2:16" ht="14.45" x14ac:dyDescent="0.3">
      <c r="B61" s="264">
        <v>2</v>
      </c>
      <c r="C61" s="265" t="s">
        <v>270</v>
      </c>
      <c r="D61" s="266"/>
      <c r="E61" s="266"/>
      <c r="F61" s="266"/>
      <c r="G61" s="267"/>
      <c r="H61" s="267"/>
      <c r="J61" s="70"/>
      <c r="K61" s="70"/>
      <c r="L61" s="70"/>
      <c r="M61" s="70"/>
      <c r="N61" s="70"/>
      <c r="O61" s="70"/>
      <c r="P61" s="70"/>
    </row>
    <row r="62" spans="2:16" x14ac:dyDescent="0.25">
      <c r="B62" s="264"/>
      <c r="C62" s="266" t="s">
        <v>259</v>
      </c>
      <c r="D62" s="266"/>
      <c r="E62" s="266"/>
      <c r="F62" s="266"/>
      <c r="G62" s="267">
        <f t="shared" ref="G62:G69" si="4">H62/1.23</f>
        <v>6198.3739837398371</v>
      </c>
      <c r="H62" s="267">
        <v>7624</v>
      </c>
      <c r="J62" s="70"/>
      <c r="K62" s="70"/>
      <c r="L62" s="70"/>
      <c r="M62" s="70"/>
      <c r="N62" s="70"/>
      <c r="O62" s="70"/>
      <c r="P62" s="70"/>
    </row>
    <row r="63" spans="2:16" ht="14.45" x14ac:dyDescent="0.3">
      <c r="B63" s="264"/>
      <c r="C63" s="266" t="s">
        <v>260</v>
      </c>
      <c r="D63" s="266"/>
      <c r="E63" s="266"/>
      <c r="F63" s="266"/>
      <c r="G63" s="267">
        <f t="shared" si="4"/>
        <v>689.43089430894315</v>
      </c>
      <c r="H63" s="267">
        <v>848</v>
      </c>
      <c r="J63" s="70"/>
      <c r="K63" s="70"/>
      <c r="L63" s="70"/>
      <c r="M63" s="70"/>
      <c r="N63" s="70"/>
      <c r="O63" s="70"/>
      <c r="P63" s="70"/>
    </row>
    <row r="64" spans="2:16" ht="14.45" x14ac:dyDescent="0.3">
      <c r="B64" s="264"/>
      <c r="C64" s="266" t="s">
        <v>261</v>
      </c>
      <c r="D64" s="266"/>
      <c r="E64" s="266"/>
      <c r="F64" s="266"/>
      <c r="G64" s="267">
        <f t="shared" si="4"/>
        <v>1626.0162601626016</v>
      </c>
      <c r="H64" s="267">
        <v>2000</v>
      </c>
      <c r="J64" s="70"/>
      <c r="K64" s="70"/>
      <c r="L64" s="70"/>
      <c r="M64" s="70"/>
      <c r="N64" s="70"/>
      <c r="O64" s="70"/>
      <c r="P64" s="70"/>
    </row>
    <row r="65" spans="1:16" x14ac:dyDescent="0.25">
      <c r="B65" s="264"/>
      <c r="C65" s="266" t="s">
        <v>262</v>
      </c>
      <c r="D65" s="266"/>
      <c r="E65" s="266"/>
      <c r="F65" s="266"/>
      <c r="G65" s="267">
        <f t="shared" si="4"/>
        <v>2781.3008130081303</v>
      </c>
      <c r="H65" s="267">
        <v>3421</v>
      </c>
      <c r="J65" s="70"/>
      <c r="K65" s="70"/>
      <c r="L65" s="70"/>
      <c r="M65" s="70"/>
      <c r="N65" s="70"/>
      <c r="O65" s="70"/>
      <c r="P65" s="70"/>
    </row>
    <row r="66" spans="1:16" x14ac:dyDescent="0.25">
      <c r="B66" s="264"/>
      <c r="C66" s="266" t="s">
        <v>263</v>
      </c>
      <c r="D66" s="266"/>
      <c r="E66" s="266"/>
      <c r="F66" s="266"/>
      <c r="G66" s="267">
        <f t="shared" si="4"/>
        <v>1910.5691056910568</v>
      </c>
      <c r="H66" s="267">
        <v>2350</v>
      </c>
      <c r="J66" s="70"/>
      <c r="K66" s="70"/>
      <c r="L66" s="70"/>
      <c r="M66" s="70"/>
      <c r="N66" s="70"/>
      <c r="O66" s="70"/>
      <c r="P66" s="70"/>
    </row>
    <row r="67" spans="1:16" x14ac:dyDescent="0.25">
      <c r="B67" s="264"/>
      <c r="C67" s="266" t="s">
        <v>264</v>
      </c>
      <c r="D67" s="266"/>
      <c r="E67" s="266"/>
      <c r="F67" s="266"/>
      <c r="G67" s="267">
        <f t="shared" si="4"/>
        <v>3252.0325203252032</v>
      </c>
      <c r="H67" s="267">
        <v>4000</v>
      </c>
      <c r="J67" s="70"/>
      <c r="K67" s="70"/>
      <c r="L67" s="70"/>
      <c r="M67" s="70"/>
      <c r="N67" s="70"/>
      <c r="O67" s="70"/>
      <c r="P67" s="70"/>
    </row>
    <row r="68" spans="1:16" s="70" customFormat="1" x14ac:dyDescent="0.25">
      <c r="B68" s="264"/>
      <c r="C68" s="266" t="s">
        <v>273</v>
      </c>
      <c r="D68" s="266"/>
      <c r="E68" s="266"/>
      <c r="F68" s="266"/>
      <c r="G68" s="267">
        <f t="shared" si="4"/>
        <v>16260.162601626016</v>
      </c>
      <c r="H68" s="267">
        <v>20000</v>
      </c>
      <c r="I68" s="6"/>
    </row>
    <row r="69" spans="1:16" s="70" customFormat="1" x14ac:dyDescent="0.25">
      <c r="B69" s="264"/>
      <c r="C69" s="266" t="s">
        <v>274</v>
      </c>
      <c r="D69" s="266"/>
      <c r="E69" s="266"/>
      <c r="F69" s="266"/>
      <c r="G69" s="267">
        <f t="shared" si="4"/>
        <v>3252.0325203252032</v>
      </c>
      <c r="H69" s="267">
        <v>4000</v>
      </c>
      <c r="I69" s="6"/>
    </row>
    <row r="70" spans="1:16" x14ac:dyDescent="0.25">
      <c r="B70" s="264">
        <v>3</v>
      </c>
      <c r="C70" s="265" t="s">
        <v>286</v>
      </c>
      <c r="D70" s="266"/>
      <c r="E70" s="266"/>
      <c r="F70" s="266"/>
      <c r="G70" s="267"/>
      <c r="H70" s="267">
        <v>46218</v>
      </c>
      <c r="J70" s="70"/>
      <c r="K70" s="70"/>
      <c r="L70" s="70"/>
      <c r="M70" s="70"/>
      <c r="N70" s="70"/>
      <c r="O70" s="70"/>
      <c r="P70" s="70"/>
    </row>
    <row r="71" spans="1:16" x14ac:dyDescent="0.25">
      <c r="B71" s="264">
        <v>4</v>
      </c>
      <c r="C71" s="265" t="s">
        <v>275</v>
      </c>
      <c r="D71" s="266"/>
      <c r="E71" s="266"/>
      <c r="F71" s="266"/>
      <c r="G71" s="267"/>
      <c r="H71" s="267"/>
      <c r="J71" s="70"/>
      <c r="K71" s="70"/>
      <c r="L71" s="70"/>
      <c r="M71" s="70"/>
      <c r="N71" s="70"/>
      <c r="O71" s="70"/>
      <c r="P71" s="70"/>
    </row>
    <row r="72" spans="1:16" x14ac:dyDescent="0.25">
      <c r="B72" s="264"/>
      <c r="C72" s="266" t="s">
        <v>268</v>
      </c>
      <c r="D72" s="266"/>
      <c r="E72" s="266"/>
      <c r="F72" s="266"/>
      <c r="G72" s="267">
        <f>H72/1.23</f>
        <v>7317.0731707317073</v>
      </c>
      <c r="H72" s="267">
        <v>9000</v>
      </c>
      <c r="J72" s="70"/>
      <c r="K72" s="70"/>
      <c r="L72" s="70"/>
      <c r="M72" s="70"/>
      <c r="N72" s="70"/>
      <c r="O72" s="70"/>
      <c r="P72" s="70"/>
    </row>
    <row r="73" spans="1:16" x14ac:dyDescent="0.25">
      <c r="B73" s="264">
        <v>5</v>
      </c>
      <c r="C73" s="265" t="s">
        <v>276</v>
      </c>
      <c r="D73" s="266"/>
      <c r="E73" s="266"/>
      <c r="F73" s="266"/>
      <c r="G73" s="267"/>
      <c r="H73" s="267"/>
      <c r="J73" s="70"/>
      <c r="K73" s="70"/>
      <c r="L73" s="70"/>
      <c r="M73" s="70"/>
      <c r="N73" s="70"/>
      <c r="O73" s="70"/>
      <c r="P73" s="70"/>
    </row>
    <row r="74" spans="1:16" x14ac:dyDescent="0.25">
      <c r="B74" s="264"/>
      <c r="C74" s="266" t="s">
        <v>277</v>
      </c>
      <c r="D74" s="266"/>
      <c r="E74" s="266"/>
      <c r="F74" s="266"/>
      <c r="G74" s="267">
        <f>H74/1.23</f>
        <v>1219.5121951219512</v>
      </c>
      <c r="H74" s="267">
        <v>1500</v>
      </c>
      <c r="J74" s="70"/>
      <c r="K74" s="70"/>
      <c r="L74" s="70"/>
      <c r="M74" s="70"/>
      <c r="N74" s="70"/>
      <c r="O74" s="70"/>
      <c r="P74" s="70"/>
    </row>
    <row r="75" spans="1:16" x14ac:dyDescent="0.25">
      <c r="B75" s="264"/>
      <c r="C75" s="266" t="s">
        <v>278</v>
      </c>
      <c r="D75" s="266"/>
      <c r="E75" s="266"/>
      <c r="F75" s="266"/>
      <c r="G75" s="267">
        <f>H75/1.23</f>
        <v>1056.9105691056911</v>
      </c>
      <c r="H75" s="267">
        <v>1300</v>
      </c>
      <c r="J75" s="70"/>
      <c r="K75" s="70"/>
      <c r="L75" s="70"/>
      <c r="M75" s="70"/>
      <c r="N75" s="70"/>
      <c r="O75" s="70"/>
      <c r="P75" s="70"/>
    </row>
    <row r="76" spans="1:16" s="70" customFormat="1" ht="15.75" thickBot="1" x14ac:dyDescent="0.3">
      <c r="A76" s="268"/>
      <c r="B76" s="268"/>
      <c r="C76" s="268"/>
      <c r="D76" s="268"/>
      <c r="E76" s="268"/>
      <c r="F76" s="268"/>
      <c r="G76" s="268"/>
      <c r="H76" s="269">
        <f>SUM(H47:H75)</f>
        <v>150000</v>
      </c>
      <c r="I76" s="6"/>
    </row>
    <row r="77" spans="1:16" x14ac:dyDescent="0.25">
      <c r="B77" s="75"/>
      <c r="C77" s="70"/>
      <c r="D77" s="70"/>
      <c r="F77" s="70"/>
      <c r="G77" s="120"/>
      <c r="J77" s="70"/>
      <c r="K77" s="70"/>
      <c r="L77" s="70"/>
      <c r="M77" s="70"/>
      <c r="N77" s="70"/>
      <c r="O77" s="70"/>
      <c r="P77" s="70"/>
    </row>
    <row r="78" spans="1:16" x14ac:dyDescent="0.25">
      <c r="J78" s="70"/>
      <c r="K78" s="70"/>
      <c r="L78" s="70"/>
      <c r="M78" s="70"/>
      <c r="N78" s="70"/>
      <c r="O78" s="70"/>
      <c r="P78" s="70"/>
    </row>
    <row r="79" spans="1:16" x14ac:dyDescent="0.25">
      <c r="I79" s="11"/>
    </row>
    <row r="81" spans="7:7" x14ac:dyDescent="0.25">
      <c r="G81" s="254"/>
    </row>
  </sheetData>
  <pageMargins left="0.7" right="0.7" top="0.75" bottom="0.75" header="0.3" footer="0.3"/>
  <pageSetup paperSize="9" scale="57" fitToHeight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193"/>
  <sheetViews>
    <sheetView workbookViewId="0">
      <pane ySplit="5" topLeftCell="A47" activePane="bottomLeft" state="frozen"/>
      <selection pane="bottomLeft" activeCell="H193" sqref="G193:H193"/>
    </sheetView>
  </sheetViews>
  <sheetFormatPr defaultRowHeight="15" x14ac:dyDescent="0.25"/>
  <cols>
    <col min="3" max="3" width="11.7109375" customWidth="1"/>
    <col min="4" max="6" width="9.28515625" customWidth="1"/>
    <col min="7" max="7" width="10.85546875" bestFit="1" customWidth="1"/>
    <col min="8" max="8" width="11.28515625" bestFit="1" customWidth="1"/>
    <col min="9" max="14" width="9.28515625" customWidth="1"/>
  </cols>
  <sheetData>
    <row r="2" spans="2:24" x14ac:dyDescent="0.25">
      <c r="B2" t="s">
        <v>24</v>
      </c>
    </row>
    <row r="5" spans="2:24" s="5" customFormat="1" ht="34.5" thickBot="1" x14ac:dyDescent="0.3">
      <c r="C5" s="20" t="s">
        <v>6</v>
      </c>
      <c r="D5" s="20" t="s">
        <v>7</v>
      </c>
      <c r="E5" s="20" t="s">
        <v>8</v>
      </c>
      <c r="F5" s="20" t="s">
        <v>9</v>
      </c>
      <c r="G5" s="20" t="s">
        <v>13</v>
      </c>
      <c r="H5" s="20" t="s">
        <v>10</v>
      </c>
      <c r="I5" s="20" t="s">
        <v>14</v>
      </c>
      <c r="J5" s="20" t="s">
        <v>23</v>
      </c>
      <c r="K5" s="20" t="s">
        <v>11</v>
      </c>
      <c r="L5" s="20" t="s">
        <v>22</v>
      </c>
      <c r="M5" s="20" t="s">
        <v>21</v>
      </c>
      <c r="N5" s="20" t="s">
        <v>15</v>
      </c>
      <c r="O5" s="20" t="s">
        <v>12</v>
      </c>
    </row>
    <row r="6" spans="2:24" x14ac:dyDescent="0.25">
      <c r="C6" s="355">
        <v>1</v>
      </c>
      <c r="D6" s="25">
        <v>3.35</v>
      </c>
      <c r="E6" s="25">
        <v>6.6</v>
      </c>
      <c r="F6" s="25">
        <v>2.2999999999999998</v>
      </c>
      <c r="G6" s="26">
        <f>D6*E6</f>
        <v>22.11</v>
      </c>
      <c r="H6" s="27">
        <f>2*(D6+E6)*F6-K6-N6</f>
        <v>43.37</v>
      </c>
      <c r="I6" s="25"/>
      <c r="J6" s="28"/>
      <c r="K6" s="29">
        <f>SUM(K7)</f>
        <v>1</v>
      </c>
      <c r="L6" s="25"/>
      <c r="M6" s="30"/>
      <c r="N6" s="29">
        <f>SUM(N7)</f>
        <v>1.4</v>
      </c>
      <c r="O6" s="31">
        <f>SUM(O7)</f>
        <v>0.7</v>
      </c>
      <c r="S6" s="15"/>
      <c r="T6" s="15"/>
      <c r="U6" s="15"/>
      <c r="V6" s="15"/>
    </row>
    <row r="7" spans="2:24" ht="15.75" thickBot="1" x14ac:dyDescent="0.3">
      <c r="C7" s="356"/>
      <c r="D7" s="32"/>
      <c r="E7" s="32"/>
      <c r="F7" s="32"/>
      <c r="G7" s="33"/>
      <c r="H7" s="34"/>
      <c r="I7" s="32">
        <v>1</v>
      </c>
      <c r="J7" s="35">
        <v>1</v>
      </c>
      <c r="K7" s="32">
        <f>I7*J7</f>
        <v>1</v>
      </c>
      <c r="L7" s="32">
        <v>0.7</v>
      </c>
      <c r="M7" s="35">
        <v>2</v>
      </c>
      <c r="N7" s="32">
        <f>L7*M7</f>
        <v>1.4</v>
      </c>
      <c r="O7" s="36">
        <f>N7/2</f>
        <v>0.7</v>
      </c>
      <c r="S7" s="15"/>
      <c r="T7" s="15"/>
      <c r="U7" s="15"/>
      <c r="V7" s="15"/>
    </row>
    <row r="8" spans="2:24" x14ac:dyDescent="0.25">
      <c r="C8" s="355">
        <v>2</v>
      </c>
      <c r="D8" s="25">
        <v>2.7</v>
      </c>
      <c r="E8" s="25">
        <v>8.1999999999999993</v>
      </c>
      <c r="F8" s="25">
        <v>2.2999999999999998</v>
      </c>
      <c r="G8" s="26">
        <f>D8*E8</f>
        <v>22.14</v>
      </c>
      <c r="H8" s="27">
        <f>2*(D8+E8)*F8-K8-N8</f>
        <v>42.339999999999989</v>
      </c>
      <c r="I8" s="25"/>
      <c r="J8" s="30"/>
      <c r="K8" s="29">
        <f>SUM(K9)</f>
        <v>0</v>
      </c>
      <c r="L8" s="25"/>
      <c r="M8" s="30"/>
      <c r="N8" s="29">
        <f>SUM(N9:N13)</f>
        <v>7.7999999999999989</v>
      </c>
      <c r="O8" s="31">
        <f>SUM(O9:O13)</f>
        <v>3.8999999999999995</v>
      </c>
      <c r="S8" s="15"/>
      <c r="T8" s="15"/>
      <c r="U8" s="15"/>
      <c r="V8" s="15"/>
    </row>
    <row r="9" spans="2:24" x14ac:dyDescent="0.25">
      <c r="C9" s="357"/>
      <c r="D9" s="7"/>
      <c r="E9" s="7"/>
      <c r="F9" s="7"/>
      <c r="G9" s="8"/>
      <c r="H9" s="9"/>
      <c r="I9" s="7"/>
      <c r="J9" s="10"/>
      <c r="K9" s="7">
        <f>I9*J9</f>
        <v>0</v>
      </c>
      <c r="L9" s="7">
        <v>0.7</v>
      </c>
      <c r="M9" s="10">
        <v>2</v>
      </c>
      <c r="N9" s="7">
        <f>L9*M9</f>
        <v>1.4</v>
      </c>
      <c r="O9" s="37">
        <f>N9/2</f>
        <v>0.7</v>
      </c>
      <c r="S9" s="15"/>
      <c r="T9" s="15"/>
      <c r="U9" s="15"/>
      <c r="V9" s="15"/>
    </row>
    <row r="10" spans="2:24" x14ac:dyDescent="0.25">
      <c r="C10" s="357"/>
      <c r="D10" s="7"/>
      <c r="E10" s="7"/>
      <c r="F10" s="7"/>
      <c r="G10" s="8"/>
      <c r="H10" s="9"/>
      <c r="I10" s="7"/>
      <c r="J10" s="10"/>
      <c r="K10" s="7"/>
      <c r="L10" s="7">
        <v>0.8</v>
      </c>
      <c r="M10" s="10">
        <v>2</v>
      </c>
      <c r="N10" s="7">
        <f t="shared" ref="N10:N13" si="0">L10*M10</f>
        <v>1.6</v>
      </c>
      <c r="O10" s="37">
        <f t="shared" ref="O10:O13" si="1">N10/2</f>
        <v>0.8</v>
      </c>
      <c r="S10" s="15"/>
      <c r="T10" s="15"/>
      <c r="U10" s="15"/>
      <c r="V10" s="15"/>
    </row>
    <row r="11" spans="2:24" x14ac:dyDescent="0.25">
      <c r="C11" s="357"/>
      <c r="D11" s="7"/>
      <c r="E11" s="7"/>
      <c r="F11" s="7"/>
      <c r="G11" s="8"/>
      <c r="H11" s="9"/>
      <c r="I11" s="7"/>
      <c r="J11" s="10"/>
      <c r="K11" s="7"/>
      <c r="L11" s="7">
        <v>0.8</v>
      </c>
      <c r="M11" s="10">
        <v>2</v>
      </c>
      <c r="N11" s="7">
        <f t="shared" si="0"/>
        <v>1.6</v>
      </c>
      <c r="O11" s="37">
        <f t="shared" si="1"/>
        <v>0.8</v>
      </c>
      <c r="S11" s="15"/>
      <c r="T11" s="15"/>
      <c r="U11" s="15"/>
      <c r="V11" s="15"/>
    </row>
    <row r="12" spans="2:24" x14ac:dyDescent="0.25">
      <c r="C12" s="357"/>
      <c r="D12" s="7"/>
      <c r="E12" s="7"/>
      <c r="F12" s="7"/>
      <c r="G12" s="8"/>
      <c r="H12" s="9"/>
      <c r="I12" s="7"/>
      <c r="J12" s="10"/>
      <c r="K12" s="7"/>
      <c r="L12" s="7">
        <v>0.9</v>
      </c>
      <c r="M12" s="10">
        <v>2</v>
      </c>
      <c r="N12" s="7">
        <f t="shared" si="0"/>
        <v>1.8</v>
      </c>
      <c r="O12" s="37">
        <f t="shared" si="1"/>
        <v>0.9</v>
      </c>
      <c r="S12" s="15"/>
      <c r="T12" s="15"/>
      <c r="U12" s="15"/>
      <c r="V12" s="15"/>
    </row>
    <row r="13" spans="2:24" ht="15.75" thickBot="1" x14ac:dyDescent="0.3">
      <c r="C13" s="356"/>
      <c r="D13" s="32"/>
      <c r="E13" s="32"/>
      <c r="F13" s="32"/>
      <c r="G13" s="33"/>
      <c r="H13" s="34"/>
      <c r="I13" s="32"/>
      <c r="J13" s="35"/>
      <c r="K13" s="32"/>
      <c r="L13" s="32">
        <v>0.7</v>
      </c>
      <c r="M13" s="35">
        <v>2</v>
      </c>
      <c r="N13" s="32">
        <f t="shared" si="0"/>
        <v>1.4</v>
      </c>
      <c r="O13" s="36">
        <f t="shared" si="1"/>
        <v>0.7</v>
      </c>
      <c r="S13" s="15"/>
      <c r="T13" s="15"/>
      <c r="U13" s="15"/>
      <c r="V13" s="15"/>
    </row>
    <row r="14" spans="2:24" x14ac:dyDescent="0.25">
      <c r="C14" s="355">
        <v>3</v>
      </c>
      <c r="D14" s="25">
        <v>3.5</v>
      </c>
      <c r="E14" s="25">
        <v>3.8</v>
      </c>
      <c r="F14" s="25">
        <v>2.2999999999999998</v>
      </c>
      <c r="G14" s="26">
        <f>D14*E14</f>
        <v>13.299999999999999</v>
      </c>
      <c r="H14" s="27">
        <f>2*(D14+E14)*F14-K14-N14</f>
        <v>29.1892</v>
      </c>
      <c r="I14" s="25"/>
      <c r="J14" s="30"/>
      <c r="K14" s="29">
        <f>SUM(K16)</f>
        <v>0</v>
      </c>
      <c r="L14" s="25"/>
      <c r="M14" s="30"/>
      <c r="N14" s="29">
        <f>SUM(N15:N16)</f>
        <v>4.3908000000000005</v>
      </c>
      <c r="O14" s="31">
        <f>SUM(O15:O16)</f>
        <v>3.0954000000000002</v>
      </c>
      <c r="S14" s="15"/>
      <c r="T14" s="15"/>
      <c r="U14" s="15"/>
      <c r="V14" s="15"/>
    </row>
    <row r="15" spans="2:24" x14ac:dyDescent="0.25">
      <c r="C15" s="357"/>
      <c r="D15" s="7"/>
      <c r="E15" s="7"/>
      <c r="F15" s="7"/>
      <c r="G15" s="8"/>
      <c r="H15" s="9"/>
      <c r="I15" s="7"/>
      <c r="J15" s="10"/>
      <c r="K15" s="10"/>
      <c r="L15" s="7">
        <v>0.9</v>
      </c>
      <c r="M15" s="10">
        <v>2</v>
      </c>
      <c r="N15" s="7">
        <f>L15*M15</f>
        <v>1.8</v>
      </c>
      <c r="O15" s="37">
        <f>N15</f>
        <v>1.8</v>
      </c>
      <c r="S15" s="15"/>
      <c r="T15" s="15"/>
      <c r="U15" s="15"/>
      <c r="V15" s="16"/>
      <c r="W15" s="15"/>
      <c r="X15" s="16"/>
    </row>
    <row r="16" spans="2:24" ht="15.75" thickBot="1" x14ac:dyDescent="0.3">
      <c r="C16" s="356"/>
      <c r="D16" s="32"/>
      <c r="E16" s="32"/>
      <c r="F16" s="32"/>
      <c r="G16" s="33"/>
      <c r="H16" s="34"/>
      <c r="I16" s="32"/>
      <c r="J16" s="35"/>
      <c r="K16" s="32">
        <f>I16*J16</f>
        <v>0</v>
      </c>
      <c r="L16" s="32">
        <v>1.27</v>
      </c>
      <c r="M16" s="35">
        <v>2.04</v>
      </c>
      <c r="N16" s="32">
        <f>L16*M16</f>
        <v>2.5908000000000002</v>
      </c>
      <c r="O16" s="36">
        <f>N16/2</f>
        <v>1.2954000000000001</v>
      </c>
      <c r="S16" s="15"/>
      <c r="T16" s="15"/>
      <c r="U16" s="15"/>
      <c r="V16" s="15"/>
      <c r="X16" s="16"/>
    </row>
    <row r="17" spans="3:24" x14ac:dyDescent="0.25">
      <c r="C17" s="355">
        <v>4</v>
      </c>
      <c r="D17" s="25">
        <v>3.5</v>
      </c>
      <c r="E17" s="25">
        <v>3.9</v>
      </c>
      <c r="F17" s="25">
        <v>2.2999999999999998</v>
      </c>
      <c r="G17" s="26">
        <f>D17*E17</f>
        <v>13.65</v>
      </c>
      <c r="H17" s="27">
        <f>2*(D17+E17)*F17-K17-N17</f>
        <v>32.44</v>
      </c>
      <c r="I17" s="25"/>
      <c r="J17" s="30"/>
      <c r="K17" s="29">
        <f>SUM(K18)</f>
        <v>0</v>
      </c>
      <c r="L17" s="25"/>
      <c r="M17" s="30"/>
      <c r="N17" s="29">
        <f>SUM(N18:N18)</f>
        <v>1.6</v>
      </c>
      <c r="O17" s="31">
        <f>SUM(O18:O18)</f>
        <v>1.6</v>
      </c>
      <c r="S17" s="15"/>
      <c r="T17" s="15"/>
      <c r="U17" s="15"/>
      <c r="V17" s="15"/>
      <c r="W17" s="15"/>
      <c r="X17" s="16"/>
    </row>
    <row r="18" spans="3:24" ht="15.75" thickBot="1" x14ac:dyDescent="0.3">
      <c r="C18" s="357"/>
      <c r="D18" s="7"/>
      <c r="E18" s="7"/>
      <c r="F18" s="7"/>
      <c r="G18" s="8"/>
      <c r="H18" s="9"/>
      <c r="I18" s="7"/>
      <c r="J18" s="10"/>
      <c r="K18" s="7">
        <f>I18*J18</f>
        <v>0</v>
      </c>
      <c r="L18" s="7">
        <v>0.8</v>
      </c>
      <c r="M18" s="10">
        <v>2</v>
      </c>
      <c r="N18" s="7">
        <f>L18*M18</f>
        <v>1.6</v>
      </c>
      <c r="O18" s="37">
        <f>N18</f>
        <v>1.6</v>
      </c>
      <c r="S18" s="15"/>
      <c r="T18" s="15"/>
      <c r="U18" s="15"/>
      <c r="V18" s="15"/>
      <c r="W18" s="15"/>
      <c r="X18" s="16"/>
    </row>
    <row r="19" spans="3:24" x14ac:dyDescent="0.25">
      <c r="C19" s="355">
        <v>5</v>
      </c>
      <c r="D19" s="25">
        <v>3.55</v>
      </c>
      <c r="E19" s="25">
        <v>6.15</v>
      </c>
      <c r="F19" s="25">
        <v>2.2999999999999998</v>
      </c>
      <c r="G19" s="26">
        <f>D19*E19</f>
        <v>21.8325</v>
      </c>
      <c r="H19" s="27">
        <f>2*(D19+E19)*F19-K19-N19</f>
        <v>41.499999999999993</v>
      </c>
      <c r="I19" s="25"/>
      <c r="J19" s="30"/>
      <c r="K19" s="29">
        <f>SUM(K20:K22)</f>
        <v>1.3200000000000003</v>
      </c>
      <c r="L19" s="25"/>
      <c r="M19" s="30"/>
      <c r="N19" s="29">
        <f>SUM(N20:N22)</f>
        <v>1.8</v>
      </c>
      <c r="O19" s="31">
        <f>SUM(O20:O22)</f>
        <v>0.9</v>
      </c>
      <c r="S19" s="15"/>
      <c r="T19" s="15"/>
      <c r="U19" s="15"/>
      <c r="V19" s="15"/>
      <c r="X19" s="16"/>
    </row>
    <row r="20" spans="3:24" x14ac:dyDescent="0.25">
      <c r="C20" s="357"/>
      <c r="D20" s="7"/>
      <c r="E20" s="7"/>
      <c r="F20" s="7"/>
      <c r="G20" s="8"/>
      <c r="H20" s="9"/>
      <c r="I20" s="7">
        <v>0.8</v>
      </c>
      <c r="J20" s="10">
        <v>0.55000000000000004</v>
      </c>
      <c r="K20" s="7">
        <f>I20*J20</f>
        <v>0.44000000000000006</v>
      </c>
      <c r="L20" s="7">
        <v>0.9</v>
      </c>
      <c r="M20" s="10">
        <v>2</v>
      </c>
      <c r="N20" s="7">
        <f>L20*M20</f>
        <v>1.8</v>
      </c>
      <c r="O20" s="37">
        <f t="shared" ref="O20:O38" si="2">N20/2</f>
        <v>0.9</v>
      </c>
      <c r="S20" s="15"/>
      <c r="T20" s="15"/>
      <c r="U20" s="15"/>
      <c r="V20" s="15"/>
      <c r="X20" s="16"/>
    </row>
    <row r="21" spans="3:24" x14ac:dyDescent="0.25">
      <c r="C21" s="357"/>
      <c r="D21" s="7"/>
      <c r="E21" s="7"/>
      <c r="F21" s="7"/>
      <c r="G21" s="8"/>
      <c r="H21" s="9"/>
      <c r="I21" s="7">
        <v>0.8</v>
      </c>
      <c r="J21" s="10">
        <v>0.55000000000000004</v>
      </c>
      <c r="K21" s="7">
        <f t="shared" ref="K21:K22" si="3">I21*J21</f>
        <v>0.44000000000000006</v>
      </c>
      <c r="L21" s="7"/>
      <c r="M21" s="10"/>
      <c r="N21" s="7"/>
      <c r="O21" s="37"/>
      <c r="S21" s="15"/>
      <c r="T21" s="15"/>
      <c r="U21" s="15"/>
      <c r="V21" s="15"/>
      <c r="X21" s="16"/>
    </row>
    <row r="22" spans="3:24" ht="15.75" thickBot="1" x14ac:dyDescent="0.3">
      <c r="C22" s="357"/>
      <c r="D22" s="7"/>
      <c r="E22" s="7"/>
      <c r="F22" s="7"/>
      <c r="G22" s="8"/>
      <c r="H22" s="9"/>
      <c r="I22" s="7">
        <v>0.8</v>
      </c>
      <c r="J22" s="10">
        <v>0.55000000000000004</v>
      </c>
      <c r="K22" s="7">
        <f t="shared" si="3"/>
        <v>0.44000000000000006</v>
      </c>
      <c r="L22" s="7"/>
      <c r="M22" s="10"/>
      <c r="N22" s="7"/>
      <c r="O22" s="37"/>
      <c r="S22" s="15"/>
      <c r="T22" s="15"/>
      <c r="U22" s="15"/>
      <c r="V22" s="15"/>
      <c r="X22" s="16"/>
    </row>
    <row r="23" spans="3:24" x14ac:dyDescent="0.25">
      <c r="C23" s="355">
        <v>6</v>
      </c>
      <c r="D23" s="25">
        <v>1.65</v>
      </c>
      <c r="E23" s="25">
        <v>6.29</v>
      </c>
      <c r="F23" s="25">
        <v>2.2999999999999998</v>
      </c>
      <c r="G23" s="26">
        <f>D23*E23</f>
        <v>10.378499999999999</v>
      </c>
      <c r="H23" s="27">
        <f>2*(D23+E23)*F23-K23-N23</f>
        <v>31.323999999999995</v>
      </c>
      <c r="I23" s="25"/>
      <c r="J23" s="30"/>
      <c r="K23" s="29">
        <f>SUM(K24)</f>
        <v>0</v>
      </c>
      <c r="L23" s="25"/>
      <c r="M23" s="30"/>
      <c r="N23" s="29">
        <f>SUM(N24:N26)</f>
        <v>5.2</v>
      </c>
      <c r="O23" s="31">
        <f>SUM(O24:O26)</f>
        <v>2.6</v>
      </c>
      <c r="S23" s="15"/>
      <c r="T23" s="15"/>
    </row>
    <row r="24" spans="3:24" x14ac:dyDescent="0.25">
      <c r="C24" s="357"/>
      <c r="D24" s="7"/>
      <c r="E24" s="7"/>
      <c r="F24" s="7"/>
      <c r="G24" s="8"/>
      <c r="H24" s="9"/>
      <c r="I24" s="7"/>
      <c r="J24" s="10"/>
      <c r="K24" s="7">
        <f>I24*J24</f>
        <v>0</v>
      </c>
      <c r="L24" s="7">
        <v>0.9</v>
      </c>
      <c r="M24" s="10">
        <v>2</v>
      </c>
      <c r="N24" s="7">
        <f>L24*M24</f>
        <v>1.8</v>
      </c>
      <c r="O24" s="37">
        <f t="shared" si="2"/>
        <v>0.9</v>
      </c>
    </row>
    <row r="25" spans="3:24" x14ac:dyDescent="0.25">
      <c r="C25" s="357"/>
      <c r="D25" s="7"/>
      <c r="E25" s="7"/>
      <c r="F25" s="7"/>
      <c r="G25" s="8"/>
      <c r="H25" s="9"/>
      <c r="I25" s="7"/>
      <c r="J25" s="10"/>
      <c r="K25" s="7"/>
      <c r="L25" s="7">
        <v>0.9</v>
      </c>
      <c r="M25" s="10">
        <v>2</v>
      </c>
      <c r="N25" s="7">
        <f>L25*M25</f>
        <v>1.8</v>
      </c>
      <c r="O25" s="37">
        <f t="shared" si="2"/>
        <v>0.9</v>
      </c>
    </row>
    <row r="26" spans="3:24" ht="15.75" thickBot="1" x14ac:dyDescent="0.3">
      <c r="C26" s="357"/>
      <c r="D26" s="7"/>
      <c r="E26" s="7"/>
      <c r="F26" s="7"/>
      <c r="G26" s="8"/>
      <c r="H26" s="9"/>
      <c r="I26" s="7"/>
      <c r="J26" s="10"/>
      <c r="K26" s="7"/>
      <c r="L26" s="7">
        <v>0.8</v>
      </c>
      <c r="M26" s="10">
        <v>2</v>
      </c>
      <c r="N26" s="7">
        <f>L26*M26</f>
        <v>1.6</v>
      </c>
      <c r="O26" s="37">
        <f t="shared" si="2"/>
        <v>0.8</v>
      </c>
    </row>
    <row r="27" spans="3:24" x14ac:dyDescent="0.25">
      <c r="C27" s="355">
        <v>7</v>
      </c>
      <c r="D27" s="25">
        <v>5.6</v>
      </c>
      <c r="E27" s="25">
        <v>14.85</v>
      </c>
      <c r="F27" s="25">
        <v>2.2999999999999998</v>
      </c>
      <c r="G27" s="26">
        <f>D27*E27</f>
        <v>83.16</v>
      </c>
      <c r="H27" s="27">
        <f>2*(D27+E27)*F27-K27-N27</f>
        <v>87.35</v>
      </c>
      <c r="I27" s="25"/>
      <c r="J27" s="30"/>
      <c r="K27" s="29">
        <f>SUM(K28:K35)</f>
        <v>3.52</v>
      </c>
      <c r="L27" s="25"/>
      <c r="M27" s="30"/>
      <c r="N27" s="29">
        <f>SUM(N28:N35)</f>
        <v>3.2</v>
      </c>
      <c r="O27" s="31">
        <f>SUM(O28:O35)</f>
        <v>1.6</v>
      </c>
    </row>
    <row r="28" spans="3:24" x14ac:dyDescent="0.25">
      <c r="C28" s="357"/>
      <c r="D28" s="7"/>
      <c r="E28" s="7"/>
      <c r="F28" s="7"/>
      <c r="G28" s="8"/>
      <c r="H28" s="9"/>
      <c r="I28" s="7">
        <v>0.8</v>
      </c>
      <c r="J28" s="10">
        <v>0.55000000000000004</v>
      </c>
      <c r="K28" s="7">
        <f>I28*J28</f>
        <v>0.44000000000000006</v>
      </c>
      <c r="L28" s="7">
        <v>0.8</v>
      </c>
      <c r="M28" s="10">
        <v>2</v>
      </c>
      <c r="N28" s="7">
        <f>L28*M28</f>
        <v>1.6</v>
      </c>
      <c r="O28" s="37">
        <f t="shared" si="2"/>
        <v>0.8</v>
      </c>
    </row>
    <row r="29" spans="3:24" x14ac:dyDescent="0.25">
      <c r="C29" s="357"/>
      <c r="D29" s="17"/>
      <c r="E29" s="17"/>
      <c r="F29" s="17"/>
      <c r="G29" s="18"/>
      <c r="H29" s="19"/>
      <c r="I29" s="7">
        <v>0.8</v>
      </c>
      <c r="J29" s="10">
        <v>0.55000000000000004</v>
      </c>
      <c r="K29" s="7">
        <f t="shared" ref="K29:K35" si="4">I29*J29</f>
        <v>0.44000000000000006</v>
      </c>
      <c r="L29" s="17">
        <v>0.8</v>
      </c>
      <c r="M29" s="38">
        <v>2</v>
      </c>
      <c r="N29" s="17">
        <f>L29*M29</f>
        <v>1.6</v>
      </c>
      <c r="O29" s="39">
        <f t="shared" si="2"/>
        <v>0.8</v>
      </c>
    </row>
    <row r="30" spans="3:24" x14ac:dyDescent="0.25">
      <c r="C30" s="357"/>
      <c r="D30" s="17"/>
      <c r="E30" s="17"/>
      <c r="F30" s="17"/>
      <c r="G30" s="18"/>
      <c r="H30" s="19"/>
      <c r="I30" s="7">
        <v>0.8</v>
      </c>
      <c r="J30" s="10">
        <v>0.55000000000000004</v>
      </c>
      <c r="K30" s="7">
        <f t="shared" si="4"/>
        <v>0.44000000000000006</v>
      </c>
      <c r="L30" s="17"/>
      <c r="M30" s="38"/>
      <c r="N30" s="17"/>
      <c r="O30" s="39"/>
    </row>
    <row r="31" spans="3:24" x14ac:dyDescent="0.25">
      <c r="C31" s="357"/>
      <c r="D31" s="17"/>
      <c r="E31" s="17"/>
      <c r="F31" s="17"/>
      <c r="G31" s="18"/>
      <c r="H31" s="19"/>
      <c r="I31" s="7">
        <v>0.8</v>
      </c>
      <c r="J31" s="10">
        <v>0.55000000000000004</v>
      </c>
      <c r="K31" s="7">
        <f t="shared" si="4"/>
        <v>0.44000000000000006</v>
      </c>
      <c r="L31" s="17"/>
      <c r="M31" s="38"/>
      <c r="N31" s="17"/>
      <c r="O31" s="39"/>
    </row>
    <row r="32" spans="3:24" x14ac:dyDescent="0.25">
      <c r="C32" s="357"/>
      <c r="D32" s="17"/>
      <c r="E32" s="17"/>
      <c r="F32" s="17"/>
      <c r="G32" s="18"/>
      <c r="H32" s="19"/>
      <c r="I32" s="7">
        <v>0.8</v>
      </c>
      <c r="J32" s="10">
        <v>0.55000000000000004</v>
      </c>
      <c r="K32" s="7">
        <f t="shared" si="4"/>
        <v>0.44000000000000006</v>
      </c>
      <c r="L32" s="17"/>
      <c r="M32" s="38"/>
      <c r="N32" s="17"/>
      <c r="O32" s="39"/>
    </row>
    <row r="33" spans="3:15" x14ac:dyDescent="0.25">
      <c r="C33" s="357"/>
      <c r="D33" s="17"/>
      <c r="E33" s="17"/>
      <c r="F33" s="17"/>
      <c r="G33" s="18"/>
      <c r="H33" s="19"/>
      <c r="I33" s="7">
        <v>0.8</v>
      </c>
      <c r="J33" s="10">
        <v>0.55000000000000004</v>
      </c>
      <c r="K33" s="7">
        <f t="shared" si="4"/>
        <v>0.44000000000000006</v>
      </c>
      <c r="L33" s="17"/>
      <c r="M33" s="38"/>
      <c r="N33" s="17"/>
      <c r="O33" s="39"/>
    </row>
    <row r="34" spans="3:15" x14ac:dyDescent="0.25">
      <c r="C34" s="357"/>
      <c r="D34" s="17"/>
      <c r="E34" s="17"/>
      <c r="F34" s="17"/>
      <c r="G34" s="18"/>
      <c r="H34" s="19"/>
      <c r="I34" s="7">
        <v>0.8</v>
      </c>
      <c r="J34" s="10">
        <v>0.55000000000000004</v>
      </c>
      <c r="K34" s="7">
        <f t="shared" si="4"/>
        <v>0.44000000000000006</v>
      </c>
      <c r="L34" s="17"/>
      <c r="M34" s="38"/>
      <c r="N34" s="17"/>
      <c r="O34" s="39"/>
    </row>
    <row r="35" spans="3:15" ht="15.75" thickBot="1" x14ac:dyDescent="0.3">
      <c r="C35" s="356"/>
      <c r="D35" s="32"/>
      <c r="E35" s="32"/>
      <c r="F35" s="32"/>
      <c r="G35" s="33"/>
      <c r="H35" s="34"/>
      <c r="I35" s="7">
        <v>0.8</v>
      </c>
      <c r="J35" s="10">
        <v>0.55000000000000004</v>
      </c>
      <c r="K35" s="7">
        <f t="shared" si="4"/>
        <v>0.44000000000000006</v>
      </c>
      <c r="L35" s="32"/>
      <c r="M35" s="35"/>
      <c r="N35" s="32"/>
      <c r="O35" s="36"/>
    </row>
    <row r="36" spans="3:15" x14ac:dyDescent="0.25">
      <c r="C36" s="355">
        <v>8</v>
      </c>
      <c r="D36" s="25">
        <v>2.25</v>
      </c>
      <c r="E36" s="25">
        <v>3.45</v>
      </c>
      <c r="F36" s="25">
        <v>2.2999999999999998</v>
      </c>
      <c r="G36" s="26">
        <f>D36*E36</f>
        <v>7.7625000000000002</v>
      </c>
      <c r="H36" s="27">
        <f>2*(D36+E36)*F36-K36-N36</f>
        <v>22.22</v>
      </c>
      <c r="I36" s="25"/>
      <c r="J36" s="30"/>
      <c r="K36" s="44">
        <f>SUM(K38:K38)</f>
        <v>0</v>
      </c>
      <c r="L36" s="25"/>
      <c r="M36" s="30"/>
      <c r="N36" s="29">
        <f>SUM(N37:N38)</f>
        <v>4</v>
      </c>
      <c r="O36" s="31">
        <f>SUM(O37:O38)</f>
        <v>2.4</v>
      </c>
    </row>
    <row r="37" spans="3:15" x14ac:dyDescent="0.25">
      <c r="C37" s="357"/>
      <c r="D37" s="40"/>
      <c r="E37" s="40"/>
      <c r="F37" s="40"/>
      <c r="G37" s="41"/>
      <c r="H37" s="42"/>
      <c r="I37" s="40"/>
      <c r="J37" s="43"/>
      <c r="K37" s="10">
        <f>I37*J37</f>
        <v>0</v>
      </c>
      <c r="L37" s="43">
        <v>0.8</v>
      </c>
      <c r="M37" s="43">
        <v>2</v>
      </c>
      <c r="N37" s="43">
        <f>L37*M37</f>
        <v>1.6</v>
      </c>
      <c r="O37" s="45">
        <f>N38/2</f>
        <v>1.2</v>
      </c>
    </row>
    <row r="38" spans="3:15" ht="15.75" thickBot="1" x14ac:dyDescent="0.3">
      <c r="C38" s="356"/>
      <c r="D38" s="32"/>
      <c r="E38" s="32"/>
      <c r="F38" s="32"/>
      <c r="G38" s="33"/>
      <c r="H38" s="34"/>
      <c r="I38" s="32"/>
      <c r="J38" s="35"/>
      <c r="K38" s="32">
        <f>I38*J38</f>
        <v>0</v>
      </c>
      <c r="L38" s="32">
        <v>1.2</v>
      </c>
      <c r="M38" s="35">
        <v>2</v>
      </c>
      <c r="N38" s="32">
        <f>L38*M38</f>
        <v>2.4</v>
      </c>
      <c r="O38" s="36">
        <f t="shared" si="2"/>
        <v>1.2</v>
      </c>
    </row>
    <row r="39" spans="3:15" x14ac:dyDescent="0.25">
      <c r="C39" s="355">
        <v>9</v>
      </c>
      <c r="D39" s="25">
        <v>4.05</v>
      </c>
      <c r="E39" s="25">
        <v>7.55</v>
      </c>
      <c r="F39" s="25">
        <v>2.2999999999999998</v>
      </c>
      <c r="G39" s="26">
        <f>D39*E39</f>
        <v>30.577499999999997</v>
      </c>
      <c r="H39" s="27">
        <f>2*(D39+E39)*F39-K39-N39</f>
        <v>50.359999999999992</v>
      </c>
      <c r="I39" s="25"/>
      <c r="J39" s="30"/>
      <c r="K39" s="29">
        <f>SUM(K40:K41)</f>
        <v>0</v>
      </c>
      <c r="L39" s="25"/>
      <c r="M39" s="30"/>
      <c r="N39" s="29">
        <f>SUM(N40:N41)</f>
        <v>3</v>
      </c>
      <c r="O39" s="31">
        <f>SUM(O40:O41)</f>
        <v>4.8</v>
      </c>
    </row>
    <row r="40" spans="3:15" x14ac:dyDescent="0.25">
      <c r="C40" s="357"/>
      <c r="D40" s="7"/>
      <c r="E40" s="7"/>
      <c r="F40" s="7"/>
      <c r="G40" s="8"/>
      <c r="H40" s="9"/>
      <c r="I40" s="7"/>
      <c r="J40" s="10"/>
      <c r="K40" s="7">
        <f>I40*J40</f>
        <v>0</v>
      </c>
      <c r="L40" s="7">
        <v>0.6</v>
      </c>
      <c r="M40" s="10">
        <v>2</v>
      </c>
      <c r="N40" s="7">
        <f>L40*M40</f>
        <v>1.2</v>
      </c>
      <c r="O40" s="37">
        <f>N40</f>
        <v>1.2</v>
      </c>
    </row>
    <row r="41" spans="3:15" ht="15.75" thickBot="1" x14ac:dyDescent="0.3">
      <c r="C41" s="356"/>
      <c r="D41" s="32"/>
      <c r="E41" s="32"/>
      <c r="F41" s="32"/>
      <c r="G41" s="33"/>
      <c r="H41" s="34"/>
      <c r="I41" s="32"/>
      <c r="J41" s="35"/>
      <c r="K41" s="32">
        <f>I41*J41</f>
        <v>0</v>
      </c>
      <c r="L41" s="32">
        <v>0.9</v>
      </c>
      <c r="M41" s="35">
        <v>2</v>
      </c>
      <c r="N41" s="32">
        <f>L41*M41</f>
        <v>1.8</v>
      </c>
      <c r="O41" s="36">
        <f>M41*N41</f>
        <v>3.6</v>
      </c>
    </row>
    <row r="42" spans="3:15" x14ac:dyDescent="0.25">
      <c r="C42" s="355">
        <v>10</v>
      </c>
      <c r="D42" s="25">
        <v>3.45</v>
      </c>
      <c r="E42" s="25">
        <v>5.0999999999999996</v>
      </c>
      <c r="F42" s="25">
        <v>2.2999999999999998</v>
      </c>
      <c r="G42" s="26">
        <f>D42*E42</f>
        <v>17.594999999999999</v>
      </c>
      <c r="H42" s="27">
        <f>2*(D42+E42)*F42-K42-N42</f>
        <v>35.33</v>
      </c>
      <c r="I42" s="25"/>
      <c r="J42" s="30"/>
      <c r="K42" s="29">
        <f>SUM(K43:K44)</f>
        <v>0</v>
      </c>
      <c r="L42" s="25"/>
      <c r="M42" s="30"/>
      <c r="N42" s="29">
        <f>SUM(N43:N44)</f>
        <v>4</v>
      </c>
      <c r="O42" s="31">
        <f>SUM(O43:O44)</f>
        <v>5.6</v>
      </c>
    </row>
    <row r="43" spans="3:15" x14ac:dyDescent="0.25">
      <c r="C43" s="357"/>
      <c r="D43" s="7"/>
      <c r="E43" s="7"/>
      <c r="F43" s="7"/>
      <c r="G43" s="8"/>
      <c r="H43" s="9"/>
      <c r="I43" s="7"/>
      <c r="J43" s="10"/>
      <c r="K43" s="7">
        <f>I43*J43</f>
        <v>0</v>
      </c>
      <c r="L43" s="7">
        <v>1.2</v>
      </c>
      <c r="M43" s="10">
        <v>2</v>
      </c>
      <c r="N43" s="7">
        <f>L43*M43</f>
        <v>2.4</v>
      </c>
      <c r="O43" s="37">
        <f>N43</f>
        <v>2.4</v>
      </c>
    </row>
    <row r="44" spans="3:15" ht="15.75" thickBot="1" x14ac:dyDescent="0.3">
      <c r="C44" s="356"/>
      <c r="D44" s="32"/>
      <c r="E44" s="32"/>
      <c r="F44" s="32"/>
      <c r="G44" s="33"/>
      <c r="H44" s="34"/>
      <c r="I44" s="32"/>
      <c r="J44" s="35"/>
      <c r="K44" s="32">
        <f>I44*J44</f>
        <v>0</v>
      </c>
      <c r="L44" s="32">
        <v>0.8</v>
      </c>
      <c r="M44" s="35">
        <v>2</v>
      </c>
      <c r="N44" s="32">
        <f>L44*M44</f>
        <v>1.6</v>
      </c>
      <c r="O44" s="36">
        <f>M44*N44</f>
        <v>3.2</v>
      </c>
    </row>
    <row r="45" spans="3:15" x14ac:dyDescent="0.25">
      <c r="C45" s="355">
        <v>11</v>
      </c>
      <c r="D45" s="25">
        <v>3.75</v>
      </c>
      <c r="E45" s="25">
        <v>7.7</v>
      </c>
      <c r="F45" s="25">
        <v>3.4</v>
      </c>
      <c r="G45" s="26">
        <f>D45*E45</f>
        <v>28.875</v>
      </c>
      <c r="H45" s="27">
        <f>2*(D45+E45)*F45-K45-N45</f>
        <v>74.459999999999994</v>
      </c>
      <c r="I45" s="25"/>
      <c r="J45" s="30"/>
      <c r="K45" s="29">
        <f>SUM(K46:K47)</f>
        <v>0</v>
      </c>
      <c r="L45" s="25"/>
      <c r="M45" s="30"/>
      <c r="N45" s="29">
        <f>SUM(N46:N47)</f>
        <v>3.4000000000000004</v>
      </c>
      <c r="O45" s="31">
        <f>SUM(O46:O47)</f>
        <v>5.2</v>
      </c>
    </row>
    <row r="46" spans="3:15" x14ac:dyDescent="0.25">
      <c r="C46" s="357"/>
      <c r="D46" s="7"/>
      <c r="E46" s="7"/>
      <c r="F46" s="7"/>
      <c r="G46" s="8"/>
      <c r="H46" s="9"/>
      <c r="I46" s="7"/>
      <c r="J46" s="10"/>
      <c r="K46" s="7">
        <f>I46*J46</f>
        <v>0</v>
      </c>
      <c r="L46" s="7">
        <v>0.8</v>
      </c>
      <c r="M46" s="10">
        <v>2</v>
      </c>
      <c r="N46" s="7">
        <f>L46*M46</f>
        <v>1.6</v>
      </c>
      <c r="O46" s="37">
        <f>N46</f>
        <v>1.6</v>
      </c>
    </row>
    <row r="47" spans="3:15" ht="15.75" thickBot="1" x14ac:dyDescent="0.3">
      <c r="C47" s="356"/>
      <c r="D47" s="32"/>
      <c r="E47" s="32"/>
      <c r="F47" s="32"/>
      <c r="G47" s="33"/>
      <c r="H47" s="34"/>
      <c r="I47" s="32"/>
      <c r="J47" s="35"/>
      <c r="K47" s="32"/>
      <c r="L47" s="32">
        <v>0.9</v>
      </c>
      <c r="M47" s="35">
        <v>2</v>
      </c>
      <c r="N47" s="32">
        <f>L47*M47</f>
        <v>1.8</v>
      </c>
      <c r="O47" s="36">
        <f>M47*N47</f>
        <v>3.6</v>
      </c>
    </row>
    <row r="48" spans="3:15" ht="14.45" x14ac:dyDescent="0.3">
      <c r="C48" s="6"/>
    </row>
    <row r="49" spans="3:15" ht="14.45" x14ac:dyDescent="0.3">
      <c r="C49" s="11" t="s">
        <v>20</v>
      </c>
      <c r="G49" s="12">
        <f>SUM(G6:G48)</f>
        <v>271.38099999999997</v>
      </c>
      <c r="H49" s="12">
        <f>SUM(H6:H47)</f>
        <v>489.88319999999999</v>
      </c>
      <c r="I49" s="12"/>
      <c r="J49" s="12"/>
      <c r="K49" s="12">
        <f>K6+K8+K14+K17+K19+K23+K27+K36+K39+K42+K45</f>
        <v>5.84</v>
      </c>
      <c r="L49" s="12"/>
      <c r="M49" s="12"/>
      <c r="N49" s="12"/>
      <c r="O49" s="12">
        <f>O6+O8+O14+O17+O19+O23+O27+O36+O39+O42+O45</f>
        <v>32.395400000000002</v>
      </c>
    </row>
    <row r="50" spans="3:15" thickBot="1" x14ac:dyDescent="0.35">
      <c r="C50" s="6"/>
    </row>
    <row r="51" spans="3:15" x14ac:dyDescent="0.25">
      <c r="C51" s="361">
        <v>12</v>
      </c>
      <c r="D51" s="25">
        <v>3.35</v>
      </c>
      <c r="E51" s="25">
        <v>4.9000000000000004</v>
      </c>
      <c r="F51" s="25">
        <v>3.9</v>
      </c>
      <c r="G51" s="26">
        <f>D51*E51</f>
        <v>16.415000000000003</v>
      </c>
      <c r="H51" s="27">
        <f>2*(D51+E51)*F51-K51-N51</f>
        <v>58.23</v>
      </c>
      <c r="I51" s="25"/>
      <c r="J51" s="30"/>
      <c r="K51" s="29">
        <f>SUM(K52:K54)</f>
        <v>4.32</v>
      </c>
      <c r="L51" s="25"/>
      <c r="M51" s="30"/>
      <c r="N51" s="29">
        <f>SUM(N52:N54)</f>
        <v>1.8</v>
      </c>
      <c r="O51" s="31">
        <f>SUM(O52:O54)</f>
        <v>0.9</v>
      </c>
    </row>
    <row r="52" spans="3:15" x14ac:dyDescent="0.25">
      <c r="C52" s="357"/>
      <c r="D52" s="7"/>
      <c r="E52" s="7"/>
      <c r="F52" s="7"/>
      <c r="G52" s="8"/>
      <c r="H52" s="9"/>
      <c r="I52" s="7">
        <v>1.2</v>
      </c>
      <c r="J52" s="10">
        <v>1.2</v>
      </c>
      <c r="K52" s="10">
        <f>I52*J52</f>
        <v>1.44</v>
      </c>
      <c r="L52" s="7">
        <v>0.9</v>
      </c>
      <c r="M52" s="10">
        <v>2</v>
      </c>
      <c r="N52" s="7">
        <f>L52*M52</f>
        <v>1.8</v>
      </c>
      <c r="O52" s="37">
        <f>N52/2</f>
        <v>0.9</v>
      </c>
    </row>
    <row r="53" spans="3:15" x14ac:dyDescent="0.25">
      <c r="C53" s="357"/>
      <c r="D53" s="7"/>
      <c r="E53" s="7"/>
      <c r="F53" s="7"/>
      <c r="G53" s="8"/>
      <c r="H53" s="9"/>
      <c r="I53" s="7">
        <v>1.2</v>
      </c>
      <c r="J53" s="10">
        <v>1.2</v>
      </c>
      <c r="K53" s="10">
        <f>I53*J53</f>
        <v>1.44</v>
      </c>
      <c r="L53" s="21"/>
      <c r="M53" s="24"/>
      <c r="N53" s="24"/>
      <c r="O53" s="51"/>
    </row>
    <row r="54" spans="3:15" ht="15.75" thickBot="1" x14ac:dyDescent="0.3">
      <c r="C54" s="362"/>
      <c r="D54" s="32"/>
      <c r="E54" s="32"/>
      <c r="F54" s="32"/>
      <c r="G54" s="33"/>
      <c r="H54" s="34"/>
      <c r="I54" s="32">
        <v>1.2</v>
      </c>
      <c r="J54" s="35">
        <v>1.2</v>
      </c>
      <c r="K54" s="32">
        <f>I54*J54</f>
        <v>1.44</v>
      </c>
      <c r="L54" s="32"/>
      <c r="M54" s="35"/>
      <c r="N54" s="32"/>
      <c r="O54" s="36"/>
    </row>
    <row r="55" spans="3:15" x14ac:dyDescent="0.25">
      <c r="C55" s="361">
        <v>13</v>
      </c>
      <c r="D55" s="25">
        <v>3.35</v>
      </c>
      <c r="E55" s="25">
        <v>4.55</v>
      </c>
      <c r="F55" s="25">
        <v>3.9</v>
      </c>
      <c r="G55" s="26">
        <f>D55*E55</f>
        <v>15.2425</v>
      </c>
      <c r="H55" s="27">
        <f>2*(D55+E55)*F55-K55-N55</f>
        <v>55.660000000000011</v>
      </c>
      <c r="I55" s="25"/>
      <c r="J55" s="30"/>
      <c r="K55" s="29">
        <f>SUM(K56:K56)</f>
        <v>4.16</v>
      </c>
      <c r="L55" s="25"/>
      <c r="M55" s="30"/>
      <c r="N55" s="29">
        <f>SUM(N56:N57)</f>
        <v>1.8</v>
      </c>
      <c r="O55" s="31">
        <f>SUM(O56:O57)</f>
        <v>0.9</v>
      </c>
    </row>
    <row r="56" spans="3:15" x14ac:dyDescent="0.25">
      <c r="C56" s="363"/>
      <c r="D56" s="7"/>
      <c r="E56" s="7"/>
      <c r="F56" s="7"/>
      <c r="G56" s="8"/>
      <c r="H56" s="9"/>
      <c r="I56" s="7">
        <v>2.6</v>
      </c>
      <c r="J56" s="10">
        <v>1.6</v>
      </c>
      <c r="K56" s="7">
        <f>I56*J56</f>
        <v>4.16</v>
      </c>
      <c r="L56" s="7">
        <v>0.9</v>
      </c>
      <c r="M56" s="10">
        <v>2</v>
      </c>
      <c r="N56" s="7">
        <f>L56*M56</f>
        <v>1.8</v>
      </c>
      <c r="O56" s="37">
        <f>N56/2</f>
        <v>0.9</v>
      </c>
    </row>
    <row r="57" spans="3:15" ht="15.75" thickBot="1" x14ac:dyDescent="0.3">
      <c r="C57" s="362"/>
      <c r="D57" s="32"/>
      <c r="E57" s="32"/>
      <c r="F57" s="32"/>
      <c r="G57" s="33"/>
      <c r="H57" s="34"/>
      <c r="I57" s="35">
        <v>1.3</v>
      </c>
      <c r="J57" s="35">
        <v>1.6</v>
      </c>
      <c r="K57" s="32">
        <f>I57*J57</f>
        <v>2.08</v>
      </c>
      <c r="L57" s="32"/>
      <c r="M57" s="35"/>
      <c r="N57" s="32">
        <f>L57*M57</f>
        <v>0</v>
      </c>
      <c r="O57" s="36">
        <f>N57/2</f>
        <v>0</v>
      </c>
    </row>
    <row r="58" spans="3:15" ht="15" customHeight="1" x14ac:dyDescent="0.25">
      <c r="C58" s="358">
        <v>14</v>
      </c>
      <c r="D58" s="25">
        <v>3.35</v>
      </c>
      <c r="E58" s="25">
        <v>5.05</v>
      </c>
      <c r="F58" s="25">
        <v>3.9</v>
      </c>
      <c r="G58" s="26">
        <f>D58*E58</f>
        <v>16.9175</v>
      </c>
      <c r="H58" s="27">
        <f>2*(D58+E58)*F58-K58-N58</f>
        <v>57.48</v>
      </c>
      <c r="I58" s="25"/>
      <c r="J58" s="30"/>
      <c r="K58" s="29">
        <f>SUM(K59:K60)</f>
        <v>6.24</v>
      </c>
      <c r="L58" s="25"/>
      <c r="M58" s="30"/>
      <c r="N58" s="29">
        <f>SUM(N59:N60)</f>
        <v>1.8</v>
      </c>
      <c r="O58" s="31">
        <f>SUM(O59:O60)</f>
        <v>0.9</v>
      </c>
    </row>
    <row r="59" spans="3:15" x14ac:dyDescent="0.25">
      <c r="C59" s="364"/>
      <c r="D59" s="7"/>
      <c r="E59" s="7"/>
      <c r="F59" s="7"/>
      <c r="G59" s="8"/>
      <c r="H59" s="9"/>
      <c r="I59" s="7">
        <v>2.6</v>
      </c>
      <c r="J59" s="10">
        <v>1.6</v>
      </c>
      <c r="K59" s="7">
        <f>I59*J59</f>
        <v>4.16</v>
      </c>
      <c r="L59" s="7">
        <v>0.9</v>
      </c>
      <c r="M59" s="10">
        <v>2</v>
      </c>
      <c r="N59" s="7">
        <f>L59*M59</f>
        <v>1.8</v>
      </c>
      <c r="O59" s="37">
        <f>N59/2</f>
        <v>0.9</v>
      </c>
    </row>
    <row r="60" spans="3:15" ht="15.75" thickBot="1" x14ac:dyDescent="0.3">
      <c r="C60" s="364"/>
      <c r="D60" s="7"/>
      <c r="E60" s="7"/>
      <c r="F60" s="7"/>
      <c r="G60" s="8"/>
      <c r="H60" s="9"/>
      <c r="I60" s="10">
        <v>1.3</v>
      </c>
      <c r="J60" s="10">
        <v>1.6</v>
      </c>
      <c r="K60" s="7">
        <f>I60*J60</f>
        <v>2.08</v>
      </c>
      <c r="L60" s="7"/>
      <c r="M60" s="10"/>
      <c r="N60" s="7">
        <f>L60*M60</f>
        <v>0</v>
      </c>
      <c r="O60" s="37">
        <f>N60/2</f>
        <v>0</v>
      </c>
    </row>
    <row r="61" spans="3:15" x14ac:dyDescent="0.25">
      <c r="C61" s="358">
        <v>15</v>
      </c>
      <c r="D61" s="25">
        <v>1.65</v>
      </c>
      <c r="E61" s="25">
        <v>5.38</v>
      </c>
      <c r="F61" s="25">
        <v>3.9</v>
      </c>
      <c r="G61" s="26">
        <f>D61*E61</f>
        <v>8.8769999999999989</v>
      </c>
      <c r="H61" s="27">
        <f>2*(D61+E61)*F61-K61-N61</f>
        <v>43.553999999999995</v>
      </c>
      <c r="I61" s="25"/>
      <c r="J61" s="30"/>
      <c r="K61" s="29">
        <f>SUM(K62:K63)</f>
        <v>0</v>
      </c>
      <c r="L61" s="25"/>
      <c r="M61" s="30"/>
      <c r="N61" s="29">
        <f>SUM(N62:N63)</f>
        <v>11.280000000000001</v>
      </c>
      <c r="O61" s="31">
        <f>SUM(O62:O63)</f>
        <v>9.6000000000000014</v>
      </c>
    </row>
    <row r="62" spans="3:15" x14ac:dyDescent="0.25">
      <c r="C62" s="364"/>
      <c r="D62" s="7"/>
      <c r="E62" s="7"/>
      <c r="F62" s="7"/>
      <c r="G62" s="8"/>
      <c r="H62" s="9"/>
      <c r="I62" s="7"/>
      <c r="J62" s="10"/>
      <c r="K62" s="7">
        <f>I62*J62</f>
        <v>0</v>
      </c>
      <c r="L62" s="7">
        <v>3.6</v>
      </c>
      <c r="M62" s="10">
        <v>2.2000000000000002</v>
      </c>
      <c r="N62" s="7">
        <f>L62*M62</f>
        <v>7.9200000000000008</v>
      </c>
      <c r="O62" s="37">
        <f>N62</f>
        <v>7.9200000000000008</v>
      </c>
    </row>
    <row r="63" spans="3:15" ht="15.75" thickBot="1" x14ac:dyDescent="0.3">
      <c r="C63" s="364"/>
      <c r="D63" s="7"/>
      <c r="E63" s="7"/>
      <c r="F63" s="7"/>
      <c r="G63" s="8"/>
      <c r="H63" s="9"/>
      <c r="I63" s="10"/>
      <c r="J63" s="10"/>
      <c r="K63" s="7">
        <f>I63*J63</f>
        <v>0</v>
      </c>
      <c r="L63" s="7">
        <v>1.6</v>
      </c>
      <c r="M63" s="10">
        <v>2.1</v>
      </c>
      <c r="N63" s="7">
        <f>L63*M63</f>
        <v>3.3600000000000003</v>
      </c>
      <c r="O63" s="37">
        <f>N63/2</f>
        <v>1.6800000000000002</v>
      </c>
    </row>
    <row r="64" spans="3:15" s="48" customFormat="1" x14ac:dyDescent="0.25">
      <c r="C64" s="365">
        <v>16</v>
      </c>
      <c r="D64" s="30"/>
      <c r="E64" s="30"/>
      <c r="F64" s="30">
        <v>3.9</v>
      </c>
      <c r="G64" s="26">
        <f>SUM(G65:G70)</f>
        <v>56.606000000000002</v>
      </c>
      <c r="H64" s="27">
        <f>27.44*F64-K64-N64</f>
        <v>93.296000000000006</v>
      </c>
      <c r="I64" s="30"/>
      <c r="J64" s="30"/>
      <c r="K64" s="29">
        <f>SUM(K65:K70)</f>
        <v>0</v>
      </c>
      <c r="L64" s="30"/>
      <c r="M64" s="30"/>
      <c r="N64" s="29">
        <f>SUM(N65:N70)</f>
        <v>13.720000000000002</v>
      </c>
      <c r="O64" s="31">
        <f>SUM(O65:O70)</f>
        <v>6.8600000000000012</v>
      </c>
    </row>
    <row r="65" spans="3:15" s="48" customFormat="1" x14ac:dyDescent="0.25">
      <c r="C65" s="367"/>
      <c r="D65" s="10">
        <v>4.6500000000000004</v>
      </c>
      <c r="E65" s="10">
        <v>7.8</v>
      </c>
      <c r="F65" s="10">
        <v>3.9</v>
      </c>
      <c r="G65" s="8">
        <f>D65*E65</f>
        <v>36.270000000000003</v>
      </c>
      <c r="H65" s="9"/>
      <c r="I65" s="10"/>
      <c r="J65" s="10"/>
      <c r="K65" s="10">
        <f>I65*J65</f>
        <v>0</v>
      </c>
      <c r="L65" s="10">
        <v>0.9</v>
      </c>
      <c r="M65" s="10">
        <v>2</v>
      </c>
      <c r="N65" s="10">
        <f>L65*M65</f>
        <v>1.8</v>
      </c>
      <c r="O65" s="50">
        <f>N65/2</f>
        <v>0.9</v>
      </c>
    </row>
    <row r="66" spans="3:15" s="48" customFormat="1" x14ac:dyDescent="0.25">
      <c r="C66" s="367"/>
      <c r="D66" s="10">
        <v>3.28</v>
      </c>
      <c r="E66" s="10">
        <v>6.2</v>
      </c>
      <c r="F66" s="10">
        <v>3.9</v>
      </c>
      <c r="G66" s="8">
        <f t="shared" ref="G66" si="5">D66*E66</f>
        <v>20.335999999999999</v>
      </c>
      <c r="H66" s="9"/>
      <c r="I66" s="10"/>
      <c r="J66" s="10"/>
      <c r="K66" s="10">
        <f>I66*J66</f>
        <v>0</v>
      </c>
      <c r="L66" s="10">
        <v>0.9</v>
      </c>
      <c r="M66" s="10">
        <v>2</v>
      </c>
      <c r="N66" s="10">
        <f t="shared" ref="N66:N70" si="6">L66*M66</f>
        <v>1.8</v>
      </c>
      <c r="O66" s="50">
        <f t="shared" ref="O66:O70" si="7">N66/2</f>
        <v>0.9</v>
      </c>
    </row>
    <row r="67" spans="3:15" s="48" customFormat="1" x14ac:dyDescent="0.25">
      <c r="C67" s="367"/>
      <c r="D67" s="24"/>
      <c r="E67" s="24"/>
      <c r="F67" s="24"/>
      <c r="G67" s="22"/>
      <c r="H67" s="23"/>
      <c r="I67" s="24"/>
      <c r="J67" s="24"/>
      <c r="K67" s="10">
        <f t="shared" ref="K67:K70" si="8">I67*J67</f>
        <v>0</v>
      </c>
      <c r="L67" s="24">
        <v>0.9</v>
      </c>
      <c r="M67" s="24">
        <v>2</v>
      </c>
      <c r="N67" s="10">
        <f t="shared" si="6"/>
        <v>1.8</v>
      </c>
      <c r="O67" s="50">
        <f t="shared" si="7"/>
        <v>0.9</v>
      </c>
    </row>
    <row r="68" spans="3:15" s="48" customFormat="1" x14ac:dyDescent="0.25">
      <c r="C68" s="367"/>
      <c r="D68" s="24"/>
      <c r="E68" s="24"/>
      <c r="F68" s="24"/>
      <c r="G68" s="22"/>
      <c r="H68" s="23"/>
      <c r="I68" s="24"/>
      <c r="J68" s="24"/>
      <c r="K68" s="10">
        <f t="shared" si="8"/>
        <v>0</v>
      </c>
      <c r="L68" s="24">
        <v>1.6</v>
      </c>
      <c r="M68" s="24">
        <v>2.1</v>
      </c>
      <c r="N68" s="10">
        <f t="shared" si="6"/>
        <v>3.3600000000000003</v>
      </c>
      <c r="O68" s="50">
        <f t="shared" si="7"/>
        <v>1.6800000000000002</v>
      </c>
    </row>
    <row r="69" spans="3:15" s="48" customFormat="1" x14ac:dyDescent="0.25">
      <c r="C69" s="367"/>
      <c r="D69" s="24"/>
      <c r="E69" s="24"/>
      <c r="F69" s="24"/>
      <c r="G69" s="22"/>
      <c r="H69" s="23"/>
      <c r="I69" s="24"/>
      <c r="J69" s="24"/>
      <c r="K69" s="10">
        <f t="shared" si="8"/>
        <v>0</v>
      </c>
      <c r="L69" s="24">
        <v>0.8</v>
      </c>
      <c r="M69" s="24">
        <v>2</v>
      </c>
      <c r="N69" s="10">
        <f t="shared" si="6"/>
        <v>1.6</v>
      </c>
      <c r="O69" s="50">
        <f t="shared" si="7"/>
        <v>0.8</v>
      </c>
    </row>
    <row r="70" spans="3:15" s="48" customFormat="1" ht="15.75" thickBot="1" x14ac:dyDescent="0.3">
      <c r="C70" s="367"/>
      <c r="D70" s="24"/>
      <c r="E70" s="24"/>
      <c r="F70" s="24"/>
      <c r="G70" s="22"/>
      <c r="H70" s="23"/>
      <c r="I70" s="24"/>
      <c r="J70" s="24"/>
      <c r="K70" s="10">
        <f t="shared" si="8"/>
        <v>0</v>
      </c>
      <c r="L70" s="24">
        <v>1.6</v>
      </c>
      <c r="M70" s="24">
        <v>2.1</v>
      </c>
      <c r="N70" s="10">
        <f t="shared" si="6"/>
        <v>3.3600000000000003</v>
      </c>
      <c r="O70" s="50">
        <f t="shared" si="7"/>
        <v>1.6800000000000002</v>
      </c>
    </row>
    <row r="71" spans="3:15" x14ac:dyDescent="0.25">
      <c r="C71" s="358">
        <v>17</v>
      </c>
      <c r="D71" s="25">
        <v>2.2000000000000002</v>
      </c>
      <c r="E71" s="25">
        <v>3.1</v>
      </c>
      <c r="F71" s="25">
        <v>3.9</v>
      </c>
      <c r="G71" s="26">
        <f>D71*E71</f>
        <v>6.8200000000000012</v>
      </c>
      <c r="H71" s="27">
        <f>2*(D71+E71)*F71-K71-N71</f>
        <v>39.540000000000006</v>
      </c>
      <c r="I71" s="25"/>
      <c r="J71" s="30"/>
      <c r="K71" s="29">
        <f>SUM(K72:K72)</f>
        <v>0</v>
      </c>
      <c r="L71" s="25"/>
      <c r="M71" s="30"/>
      <c r="N71" s="29">
        <f>SUM(N72:N72)</f>
        <v>1.8</v>
      </c>
      <c r="O71" s="31">
        <f>SUM(O72:O72)</f>
        <v>1.8</v>
      </c>
    </row>
    <row r="72" spans="3:15" ht="15.75" thickBot="1" x14ac:dyDescent="0.3">
      <c r="C72" s="364"/>
      <c r="D72" s="7"/>
      <c r="E72" s="7"/>
      <c r="F72" s="7"/>
      <c r="G72" s="8"/>
      <c r="H72" s="9"/>
      <c r="I72" s="7"/>
      <c r="J72" s="10"/>
      <c r="K72" s="7">
        <f>I72*J72</f>
        <v>0</v>
      </c>
      <c r="L72" s="7">
        <v>0.9</v>
      </c>
      <c r="M72" s="10">
        <v>2</v>
      </c>
      <c r="N72" s="7">
        <f>L72*M72</f>
        <v>1.8</v>
      </c>
      <c r="O72" s="37">
        <f>N72</f>
        <v>1.8</v>
      </c>
    </row>
    <row r="73" spans="3:15" x14ac:dyDescent="0.25">
      <c r="C73" s="358">
        <v>18</v>
      </c>
      <c r="D73" s="25">
        <v>2.7</v>
      </c>
      <c r="E73" s="25">
        <v>3.25</v>
      </c>
      <c r="F73" s="25">
        <v>3.9</v>
      </c>
      <c r="G73" s="26">
        <f>D73*E73</f>
        <v>8.7750000000000004</v>
      </c>
      <c r="H73" s="27">
        <f>2*(D73+E73)*F73-K73-N73</f>
        <v>44.150000000000006</v>
      </c>
      <c r="I73" s="25"/>
      <c r="J73" s="30"/>
      <c r="K73" s="29">
        <f>SUM(K74:K74)</f>
        <v>0.66</v>
      </c>
      <c r="L73" s="25"/>
      <c r="M73" s="30"/>
      <c r="N73" s="29">
        <f>SUM(N74:N74)</f>
        <v>1.6</v>
      </c>
      <c r="O73" s="31">
        <f>SUM(O74:O74)</f>
        <v>0.8</v>
      </c>
    </row>
    <row r="74" spans="3:15" ht="15.75" thickBot="1" x14ac:dyDescent="0.3">
      <c r="C74" s="364"/>
      <c r="D74" s="7"/>
      <c r="E74" s="7"/>
      <c r="F74" s="7"/>
      <c r="G74" s="8"/>
      <c r="H74" s="9"/>
      <c r="I74" s="10">
        <v>0.6</v>
      </c>
      <c r="J74" s="10">
        <v>1.1000000000000001</v>
      </c>
      <c r="K74" s="7">
        <f>I74*J74</f>
        <v>0.66</v>
      </c>
      <c r="L74" s="7">
        <v>0.8</v>
      </c>
      <c r="M74" s="10">
        <v>2</v>
      </c>
      <c r="N74" s="7">
        <f>L74*M74</f>
        <v>1.6</v>
      </c>
      <c r="O74" s="37">
        <f>N74/2</f>
        <v>0.8</v>
      </c>
    </row>
    <row r="75" spans="3:15" s="48" customFormat="1" x14ac:dyDescent="0.25">
      <c r="C75" s="365">
        <v>19</v>
      </c>
      <c r="D75" s="30">
        <v>3.2</v>
      </c>
      <c r="E75" s="30">
        <v>5.76</v>
      </c>
      <c r="F75" s="30">
        <v>3.9</v>
      </c>
      <c r="G75" s="26">
        <f>D75*E75</f>
        <v>18.431999999999999</v>
      </c>
      <c r="H75" s="27">
        <f>13.85*F75-K75-N75</f>
        <v>44.656600000000005</v>
      </c>
      <c r="I75" s="30"/>
      <c r="J75" s="30"/>
      <c r="K75" s="30">
        <f>SUM(K76:K77)</f>
        <v>4.0583999999999998</v>
      </c>
      <c r="L75" s="30"/>
      <c r="M75" s="30"/>
      <c r="N75" s="30">
        <f>SUM(N76:N77)</f>
        <v>5.3</v>
      </c>
      <c r="O75" s="52">
        <f>SUM(O76:O77)</f>
        <v>2.65</v>
      </c>
    </row>
    <row r="76" spans="3:15" s="48" customFormat="1" x14ac:dyDescent="0.25">
      <c r="C76" s="368"/>
      <c r="D76" s="10"/>
      <c r="E76" s="10"/>
      <c r="F76" s="10"/>
      <c r="G76" s="8"/>
      <c r="H76" s="9"/>
      <c r="I76" s="10">
        <v>1.1399999999999999</v>
      </c>
      <c r="J76" s="10">
        <v>1.78</v>
      </c>
      <c r="K76" s="10">
        <f>I76*J76</f>
        <v>2.0291999999999999</v>
      </c>
      <c r="L76" s="10">
        <v>1.41</v>
      </c>
      <c r="M76" s="10">
        <v>2</v>
      </c>
      <c r="N76" s="10">
        <f>L76*M76</f>
        <v>2.82</v>
      </c>
      <c r="O76" s="50">
        <f>N76/2</f>
        <v>1.41</v>
      </c>
    </row>
    <row r="77" spans="3:15" s="48" customFormat="1" ht="15.75" thickBot="1" x14ac:dyDescent="0.3">
      <c r="C77" s="366"/>
      <c r="D77" s="35"/>
      <c r="E77" s="35"/>
      <c r="F77" s="35"/>
      <c r="G77" s="33"/>
      <c r="H77" s="34"/>
      <c r="I77" s="35">
        <v>1.1399999999999999</v>
      </c>
      <c r="J77" s="35">
        <v>1.78</v>
      </c>
      <c r="K77" s="35">
        <f>I77*J77</f>
        <v>2.0291999999999999</v>
      </c>
      <c r="L77" s="35">
        <v>1.24</v>
      </c>
      <c r="M77" s="35">
        <v>2</v>
      </c>
      <c r="N77" s="35">
        <f t="shared" ref="N77" si="9">L77*M77</f>
        <v>2.48</v>
      </c>
      <c r="O77" s="53">
        <f t="shared" ref="O77" si="10">N77/2</f>
        <v>1.24</v>
      </c>
    </row>
    <row r="78" spans="3:15" x14ac:dyDescent="0.25">
      <c r="C78" s="358">
        <v>20</v>
      </c>
      <c r="D78" s="25">
        <v>2</v>
      </c>
      <c r="E78" s="25">
        <v>2.0299999999999998</v>
      </c>
      <c r="F78" s="25">
        <v>3.9</v>
      </c>
      <c r="G78" s="26">
        <f>D78*E78</f>
        <v>4.0599999999999996</v>
      </c>
      <c r="H78" s="27">
        <f>2*(D78+E78)*F78-K78-N78</f>
        <v>26.033999999999992</v>
      </c>
      <c r="I78" s="25"/>
      <c r="J78" s="30"/>
      <c r="K78" s="29">
        <f>SUM(K81:K81)</f>
        <v>0</v>
      </c>
      <c r="L78" s="25"/>
      <c r="M78" s="30"/>
      <c r="N78" s="29">
        <f>SUM(N79:N81)</f>
        <v>5.4</v>
      </c>
      <c r="O78" s="31">
        <f>SUM(O79:O81)</f>
        <v>2.7</v>
      </c>
    </row>
    <row r="79" spans="3:15" x14ac:dyDescent="0.25">
      <c r="C79" s="359"/>
      <c r="D79" s="7"/>
      <c r="E79" s="7"/>
      <c r="F79" s="7"/>
      <c r="G79" s="8"/>
      <c r="H79" s="9"/>
      <c r="I79" s="7"/>
      <c r="J79" s="10"/>
      <c r="K79" s="10">
        <f>I79*J79</f>
        <v>0</v>
      </c>
      <c r="L79" s="10">
        <v>0.9</v>
      </c>
      <c r="M79" s="10">
        <v>2</v>
      </c>
      <c r="N79" s="10">
        <f>L79*M79</f>
        <v>1.8</v>
      </c>
      <c r="O79" s="50">
        <f>N79/2</f>
        <v>0.9</v>
      </c>
    </row>
    <row r="80" spans="3:15" x14ac:dyDescent="0.25">
      <c r="C80" s="359"/>
      <c r="D80" s="40"/>
      <c r="E80" s="40"/>
      <c r="F80" s="40"/>
      <c r="G80" s="41"/>
      <c r="H80" s="42"/>
      <c r="I80" s="40"/>
      <c r="J80" s="43"/>
      <c r="K80" s="43">
        <f>I80*J80</f>
        <v>0</v>
      </c>
      <c r="L80" s="43">
        <v>0.9</v>
      </c>
      <c r="M80" s="43">
        <v>2</v>
      </c>
      <c r="N80" s="43">
        <f>L80*M80</f>
        <v>1.8</v>
      </c>
      <c r="O80" s="45">
        <f>N80/2</f>
        <v>0.9</v>
      </c>
    </row>
    <row r="81" spans="3:15" ht="15.75" thickBot="1" x14ac:dyDescent="0.3">
      <c r="C81" s="360"/>
      <c r="D81" s="32"/>
      <c r="E81" s="32"/>
      <c r="F81" s="32"/>
      <c r="G81" s="33"/>
      <c r="H81" s="34"/>
      <c r="I81" s="35"/>
      <c r="J81" s="35"/>
      <c r="K81" s="32">
        <f>I81*J81</f>
        <v>0</v>
      </c>
      <c r="L81" s="32">
        <v>0.9</v>
      </c>
      <c r="M81" s="35">
        <v>2</v>
      </c>
      <c r="N81" s="32">
        <f>L81*M81</f>
        <v>1.8</v>
      </c>
      <c r="O81" s="36">
        <f>N81/2</f>
        <v>0.9</v>
      </c>
    </row>
    <row r="82" spans="3:15" x14ac:dyDescent="0.25">
      <c r="C82" s="358">
        <v>21</v>
      </c>
      <c r="D82" s="25">
        <v>0.85</v>
      </c>
      <c r="E82" s="25">
        <v>2</v>
      </c>
      <c r="F82" s="25">
        <v>3.9</v>
      </c>
      <c r="G82" s="26">
        <f>D82*E82</f>
        <v>1.7</v>
      </c>
      <c r="H82" s="27">
        <f>2*(D82+E82)*F82-K82-N82</f>
        <v>16.73</v>
      </c>
      <c r="I82" s="25"/>
      <c r="J82" s="30"/>
      <c r="K82" s="29">
        <f>SUM(K85:K85)</f>
        <v>0</v>
      </c>
      <c r="L82" s="25"/>
      <c r="M82" s="30"/>
      <c r="N82" s="29">
        <f>SUM(N83:N85)</f>
        <v>5.5</v>
      </c>
      <c r="O82" s="31">
        <f>SUM(O83:O85)</f>
        <v>3.8000000000000003</v>
      </c>
    </row>
    <row r="83" spans="3:15" x14ac:dyDescent="0.25">
      <c r="C83" s="359"/>
      <c r="D83" s="7"/>
      <c r="E83" s="7"/>
      <c r="F83" s="7"/>
      <c r="G83" s="8"/>
      <c r="H83" s="9"/>
      <c r="I83" s="7"/>
      <c r="J83" s="10"/>
      <c r="K83" s="10">
        <f>I83*J83</f>
        <v>0</v>
      </c>
      <c r="L83" s="10">
        <v>0.8</v>
      </c>
      <c r="M83" s="10">
        <v>2</v>
      </c>
      <c r="N83" s="10">
        <f>L83*M83</f>
        <v>1.6</v>
      </c>
      <c r="O83" s="50">
        <f>N83/2</f>
        <v>0.8</v>
      </c>
    </row>
    <row r="84" spans="3:15" x14ac:dyDescent="0.25">
      <c r="C84" s="359"/>
      <c r="D84" s="40"/>
      <c r="E84" s="40"/>
      <c r="F84" s="40"/>
      <c r="G84" s="41"/>
      <c r="H84" s="42"/>
      <c r="I84" s="40"/>
      <c r="J84" s="43"/>
      <c r="K84" s="10">
        <f>I84*J84</f>
        <v>0</v>
      </c>
      <c r="L84" s="43">
        <v>0.9</v>
      </c>
      <c r="M84" s="43">
        <v>2</v>
      </c>
      <c r="N84" s="10">
        <f>L84*M84</f>
        <v>1.8</v>
      </c>
      <c r="O84" s="50">
        <f>N84/2</f>
        <v>0.9</v>
      </c>
    </row>
    <row r="85" spans="3:15" ht="15.75" thickBot="1" x14ac:dyDescent="0.3">
      <c r="C85" s="360"/>
      <c r="D85" s="32"/>
      <c r="E85" s="32"/>
      <c r="F85" s="32"/>
      <c r="G85" s="33"/>
      <c r="H85" s="34"/>
      <c r="I85" s="35"/>
      <c r="J85" s="35"/>
      <c r="K85" s="32">
        <f>I85*J85</f>
        <v>0</v>
      </c>
      <c r="L85" s="32">
        <v>1</v>
      </c>
      <c r="M85" s="35">
        <v>2.1</v>
      </c>
      <c r="N85" s="32">
        <f>L85*M85</f>
        <v>2.1</v>
      </c>
      <c r="O85" s="36">
        <f>N85</f>
        <v>2.1</v>
      </c>
    </row>
    <row r="86" spans="3:15" s="48" customFormat="1" x14ac:dyDescent="0.25">
      <c r="C86" s="365">
        <v>22</v>
      </c>
      <c r="D86" s="30">
        <v>4.25</v>
      </c>
      <c r="E86" s="30">
        <v>5.6</v>
      </c>
      <c r="F86" s="30">
        <v>3.9</v>
      </c>
      <c r="G86" s="26">
        <f>D86*E86</f>
        <v>23.799999999999997</v>
      </c>
      <c r="H86" s="27">
        <f>18.25*F86-K86-N86</f>
        <v>67.145799999999994</v>
      </c>
      <c r="I86" s="30"/>
      <c r="J86" s="30"/>
      <c r="K86" s="29">
        <f>SUM(K87:K87)</f>
        <v>2.0291999999999999</v>
      </c>
      <c r="L86" s="30"/>
      <c r="M86" s="30"/>
      <c r="N86" s="29">
        <f>SUM(N87:N87)</f>
        <v>2</v>
      </c>
      <c r="O86" s="31">
        <f>SUM(O87:O87)</f>
        <v>1</v>
      </c>
    </row>
    <row r="87" spans="3:15" s="48" customFormat="1" ht="15.75" thickBot="1" x14ac:dyDescent="0.3">
      <c r="C87" s="366"/>
      <c r="D87" s="35"/>
      <c r="E87" s="35"/>
      <c r="F87" s="35"/>
      <c r="G87" s="33"/>
      <c r="H87" s="34"/>
      <c r="I87" s="35">
        <v>1.1399999999999999</v>
      </c>
      <c r="J87" s="35">
        <v>1.78</v>
      </c>
      <c r="K87" s="35">
        <f>I87*J87</f>
        <v>2.0291999999999999</v>
      </c>
      <c r="L87" s="35">
        <v>1</v>
      </c>
      <c r="M87" s="35">
        <v>2</v>
      </c>
      <c r="N87" s="35">
        <f>L87*M87</f>
        <v>2</v>
      </c>
      <c r="O87" s="53">
        <f>N87/2</f>
        <v>1</v>
      </c>
    </row>
    <row r="88" spans="3:15" x14ac:dyDescent="0.25">
      <c r="C88" s="358">
        <v>23</v>
      </c>
      <c r="D88" s="25">
        <v>3.95</v>
      </c>
      <c r="E88" s="25">
        <v>4.0999999999999996</v>
      </c>
      <c r="F88" s="25">
        <v>3.9</v>
      </c>
      <c r="G88" s="26">
        <f>D88*E88</f>
        <v>16.195</v>
      </c>
      <c r="H88" s="27">
        <f>2*(D88+E88)*F88-K88-N88</f>
        <v>60.230000000000004</v>
      </c>
      <c r="I88" s="25"/>
      <c r="J88" s="30"/>
      <c r="K88" s="29">
        <f>SUM(K89:K90)</f>
        <v>2.5600000000000005</v>
      </c>
      <c r="L88" s="25"/>
      <c r="M88" s="30"/>
      <c r="N88" s="29">
        <f>SUM(N90:N90)</f>
        <v>0</v>
      </c>
      <c r="O88" s="31">
        <f>SUM(O90:O90)</f>
        <v>0</v>
      </c>
    </row>
    <row r="89" spans="3:15" x14ac:dyDescent="0.25">
      <c r="C89" s="359"/>
      <c r="D89" s="40"/>
      <c r="E89" s="40"/>
      <c r="F89" s="40"/>
      <c r="G89" s="41"/>
      <c r="H89" s="42"/>
      <c r="I89" s="40">
        <v>0.8</v>
      </c>
      <c r="J89" s="43">
        <v>1.6</v>
      </c>
      <c r="K89" s="43">
        <f>I89*J89</f>
        <v>1.2800000000000002</v>
      </c>
      <c r="L89" s="43">
        <v>0.8</v>
      </c>
      <c r="M89" s="43">
        <v>2</v>
      </c>
      <c r="N89" s="43">
        <f>L89*M89</f>
        <v>1.6</v>
      </c>
      <c r="O89" s="45">
        <f>N89/2</f>
        <v>0.8</v>
      </c>
    </row>
    <row r="90" spans="3:15" ht="15.75" thickBot="1" x14ac:dyDescent="0.3">
      <c r="C90" s="360"/>
      <c r="D90" s="32"/>
      <c r="E90" s="32"/>
      <c r="F90" s="32"/>
      <c r="G90" s="33"/>
      <c r="H90" s="34"/>
      <c r="I90" s="35">
        <v>0.8</v>
      </c>
      <c r="J90" s="35">
        <v>1.6</v>
      </c>
      <c r="K90" s="32">
        <f>I90*J90</f>
        <v>1.2800000000000002</v>
      </c>
      <c r="L90" s="32"/>
      <c r="M90" s="35"/>
      <c r="N90" s="32">
        <f>L90*M90</f>
        <v>0</v>
      </c>
      <c r="O90" s="36">
        <f>N90/2</f>
        <v>0</v>
      </c>
    </row>
    <row r="91" spans="3:15" s="48" customFormat="1" x14ac:dyDescent="0.25">
      <c r="C91" s="365">
        <v>24</v>
      </c>
      <c r="D91" s="30">
        <v>1.45</v>
      </c>
      <c r="E91" s="30">
        <v>4.3</v>
      </c>
      <c r="F91" s="30">
        <v>3.9</v>
      </c>
      <c r="G91" s="26">
        <f>D91*E91</f>
        <v>6.2349999999999994</v>
      </c>
      <c r="H91" s="27">
        <f>10.05*F91-K91-N91</f>
        <v>35.994999999999997</v>
      </c>
      <c r="I91" s="30"/>
      <c r="J91" s="30"/>
      <c r="K91" s="29">
        <f>SUM(K92:K93)</f>
        <v>0</v>
      </c>
      <c r="L91" s="30"/>
      <c r="M91" s="30"/>
      <c r="N91" s="29">
        <f>SUM(N92:N93)</f>
        <v>3.2</v>
      </c>
      <c r="O91" s="31">
        <f>SUM(O92:O93)</f>
        <v>1.6</v>
      </c>
    </row>
    <row r="92" spans="3:15" s="48" customFormat="1" x14ac:dyDescent="0.25">
      <c r="C92" s="367"/>
      <c r="D92" s="43"/>
      <c r="E92" s="43"/>
      <c r="F92" s="43"/>
      <c r="G92" s="41"/>
      <c r="H92" s="42"/>
      <c r="I92" s="43"/>
      <c r="J92" s="43"/>
      <c r="K92" s="43">
        <f>I92*J92</f>
        <v>0</v>
      </c>
      <c r="L92" s="43">
        <v>0.8</v>
      </c>
      <c r="M92" s="43">
        <v>2</v>
      </c>
      <c r="N92" s="43">
        <f>L92*M92</f>
        <v>1.6</v>
      </c>
      <c r="O92" s="45">
        <f>N92/2</f>
        <v>0.8</v>
      </c>
    </row>
    <row r="93" spans="3:15" s="48" customFormat="1" ht="15.75" thickBot="1" x14ac:dyDescent="0.3">
      <c r="C93" s="366"/>
      <c r="D93" s="35"/>
      <c r="E93" s="35"/>
      <c r="F93" s="35"/>
      <c r="G93" s="33"/>
      <c r="H93" s="34"/>
      <c r="I93" s="35"/>
      <c r="J93" s="35"/>
      <c r="K93" s="35">
        <f>I93*J93</f>
        <v>0</v>
      </c>
      <c r="L93" s="35">
        <v>0.8</v>
      </c>
      <c r="M93" s="35">
        <v>2</v>
      </c>
      <c r="N93" s="35">
        <f>L93*M93</f>
        <v>1.6</v>
      </c>
      <c r="O93" s="53">
        <f>N93/2</f>
        <v>0.8</v>
      </c>
    </row>
    <row r="94" spans="3:15" x14ac:dyDescent="0.25">
      <c r="C94" s="358">
        <v>25</v>
      </c>
      <c r="D94" s="25">
        <v>3.95</v>
      </c>
      <c r="E94" s="25">
        <v>4.5</v>
      </c>
      <c r="F94" s="25">
        <v>3.9</v>
      </c>
      <c r="G94" s="26">
        <f>D94*E94</f>
        <v>17.775000000000002</v>
      </c>
      <c r="H94" s="27">
        <f>2*(D94+E94)*F94-K94-N94</f>
        <v>62.069999999999993</v>
      </c>
      <c r="I94" s="25"/>
      <c r="J94" s="30"/>
      <c r="K94" s="29">
        <f>SUM(K95:K97)</f>
        <v>3.8400000000000007</v>
      </c>
      <c r="L94" s="25"/>
      <c r="M94" s="30"/>
      <c r="N94" s="29">
        <f>SUM(N97:N97)</f>
        <v>0</v>
      </c>
      <c r="O94" s="31">
        <f>SUM(O97:O97)</f>
        <v>0</v>
      </c>
    </row>
    <row r="95" spans="3:15" x14ac:dyDescent="0.25">
      <c r="C95" s="359"/>
      <c r="D95" s="7"/>
      <c r="E95" s="7"/>
      <c r="F95" s="7"/>
      <c r="G95" s="8"/>
      <c r="H95" s="9"/>
      <c r="I95" s="7">
        <v>0.8</v>
      </c>
      <c r="J95" s="10">
        <v>1.6</v>
      </c>
      <c r="K95" s="10">
        <f>I95*J95</f>
        <v>1.2800000000000002</v>
      </c>
      <c r="L95" s="10">
        <v>0.8</v>
      </c>
      <c r="M95" s="10">
        <v>2</v>
      </c>
      <c r="N95" s="10">
        <f>L95*M95</f>
        <v>1.6</v>
      </c>
      <c r="O95" s="50">
        <f>N95/2</f>
        <v>0.8</v>
      </c>
    </row>
    <row r="96" spans="3:15" x14ac:dyDescent="0.25">
      <c r="C96" s="359"/>
      <c r="D96" s="40"/>
      <c r="E96" s="40"/>
      <c r="F96" s="40"/>
      <c r="G96" s="41"/>
      <c r="H96" s="42"/>
      <c r="I96" s="40">
        <v>0.8</v>
      </c>
      <c r="J96" s="43">
        <v>1.6</v>
      </c>
      <c r="K96" s="10">
        <f t="shared" ref="K96:K97" si="11">I96*J96</f>
        <v>1.2800000000000002</v>
      </c>
      <c r="L96" s="43"/>
      <c r="M96" s="43"/>
      <c r="N96" s="10">
        <f>L96*M96</f>
        <v>0</v>
      </c>
      <c r="O96" s="50">
        <f>N96/2</f>
        <v>0</v>
      </c>
    </row>
    <row r="97" spans="3:15" ht="15.75" thickBot="1" x14ac:dyDescent="0.3">
      <c r="C97" s="360"/>
      <c r="D97" s="32"/>
      <c r="E97" s="32"/>
      <c r="F97" s="32"/>
      <c r="G97" s="33"/>
      <c r="H97" s="34"/>
      <c r="I97" s="35">
        <v>0.8</v>
      </c>
      <c r="J97" s="35">
        <v>1.6</v>
      </c>
      <c r="K97" s="10">
        <f t="shared" si="11"/>
        <v>1.2800000000000002</v>
      </c>
      <c r="L97" s="35"/>
      <c r="M97" s="35"/>
      <c r="N97" s="35">
        <f>L97*M97</f>
        <v>0</v>
      </c>
      <c r="O97" s="53">
        <f>N97/2</f>
        <v>0</v>
      </c>
    </row>
    <row r="98" spans="3:15" x14ac:dyDescent="0.25">
      <c r="C98" s="358">
        <v>26</v>
      </c>
      <c r="D98" s="25">
        <v>1.45</v>
      </c>
      <c r="E98" s="25">
        <v>4.5</v>
      </c>
      <c r="F98" s="25">
        <v>3.9</v>
      </c>
      <c r="G98" s="26">
        <f>D98*E98</f>
        <v>6.5249999999999995</v>
      </c>
      <c r="H98" s="27">
        <f>2*(D98+E98)*F98-K98-N98</f>
        <v>41.61</v>
      </c>
      <c r="I98" s="25"/>
      <c r="J98" s="30"/>
      <c r="K98" s="29">
        <f>SUM(K101:K101)</f>
        <v>0</v>
      </c>
      <c r="L98" s="25"/>
      <c r="M98" s="30"/>
      <c r="N98" s="29">
        <f>SUM(N99:N101)</f>
        <v>4.8000000000000007</v>
      </c>
      <c r="O98" s="31">
        <f>SUM(O99:O101)</f>
        <v>2.4000000000000004</v>
      </c>
    </row>
    <row r="99" spans="3:15" x14ac:dyDescent="0.25">
      <c r="C99" s="359"/>
      <c r="D99" s="7"/>
      <c r="E99" s="7"/>
      <c r="F99" s="7"/>
      <c r="G99" s="8"/>
      <c r="H99" s="9"/>
      <c r="I99" s="7"/>
      <c r="J99" s="10"/>
      <c r="K99" s="10"/>
      <c r="L99" s="10">
        <v>0.8</v>
      </c>
      <c r="M99" s="10">
        <v>2</v>
      </c>
      <c r="N99" s="10">
        <f>L99*M99</f>
        <v>1.6</v>
      </c>
      <c r="O99" s="50">
        <f>N99/2</f>
        <v>0.8</v>
      </c>
    </row>
    <row r="100" spans="3:15" x14ac:dyDescent="0.25">
      <c r="C100" s="359"/>
      <c r="D100" s="40"/>
      <c r="E100" s="40"/>
      <c r="F100" s="40"/>
      <c r="G100" s="41"/>
      <c r="H100" s="42"/>
      <c r="I100" s="40"/>
      <c r="J100" s="43"/>
      <c r="K100" s="43"/>
      <c r="L100" s="43">
        <v>0.8</v>
      </c>
      <c r="M100" s="43">
        <v>2</v>
      </c>
      <c r="N100" s="10">
        <f>L100*M100</f>
        <v>1.6</v>
      </c>
      <c r="O100" s="50">
        <f>N100/2</f>
        <v>0.8</v>
      </c>
    </row>
    <row r="101" spans="3:15" ht="15.75" thickBot="1" x14ac:dyDescent="0.3">
      <c r="C101" s="360"/>
      <c r="D101" s="32"/>
      <c r="E101" s="32"/>
      <c r="F101" s="32"/>
      <c r="G101" s="33"/>
      <c r="H101" s="34"/>
      <c r="I101" s="35"/>
      <c r="J101" s="35"/>
      <c r="K101" s="32">
        <f>I101*J101</f>
        <v>0</v>
      </c>
      <c r="L101" s="32">
        <v>0.8</v>
      </c>
      <c r="M101" s="35">
        <v>2</v>
      </c>
      <c r="N101" s="32">
        <f>L101*M101</f>
        <v>1.6</v>
      </c>
      <c r="O101" s="36">
        <f>N101/2</f>
        <v>0.8</v>
      </c>
    </row>
    <row r="102" spans="3:15" x14ac:dyDescent="0.25">
      <c r="C102" s="358">
        <v>27</v>
      </c>
      <c r="D102" s="25">
        <v>2.4</v>
      </c>
      <c r="E102" s="25">
        <v>3.55</v>
      </c>
      <c r="F102" s="25">
        <v>3.9</v>
      </c>
      <c r="G102" s="26">
        <f>D102*E102</f>
        <v>8.52</v>
      </c>
      <c r="H102" s="27">
        <f>2*(D102+E102)*F102-K102-N102</f>
        <v>43.529999999999994</v>
      </c>
      <c r="I102" s="25"/>
      <c r="J102" s="30"/>
      <c r="K102" s="29">
        <f>SUM(K103:K103)</f>
        <v>1.2800000000000002</v>
      </c>
      <c r="L102" s="25"/>
      <c r="M102" s="30"/>
      <c r="N102" s="29">
        <f>SUM(N103:N103)</f>
        <v>1.6</v>
      </c>
      <c r="O102" s="31">
        <f>SUM(O103:O103)</f>
        <v>0.8</v>
      </c>
    </row>
    <row r="103" spans="3:15" ht="15.75" thickBot="1" x14ac:dyDescent="0.3">
      <c r="C103" s="360"/>
      <c r="D103" s="32"/>
      <c r="E103" s="32"/>
      <c r="F103" s="32"/>
      <c r="G103" s="33"/>
      <c r="H103" s="34"/>
      <c r="I103" s="35">
        <v>0.8</v>
      </c>
      <c r="J103" s="35">
        <v>1.6</v>
      </c>
      <c r="K103" s="32">
        <f>I103*J103</f>
        <v>1.2800000000000002</v>
      </c>
      <c r="L103" s="32">
        <v>0.8</v>
      </c>
      <c r="M103" s="35">
        <v>2</v>
      </c>
      <c r="N103" s="32">
        <f>L103*M103</f>
        <v>1.6</v>
      </c>
      <c r="O103" s="36">
        <f>N103/2</f>
        <v>0.8</v>
      </c>
    </row>
    <row r="104" spans="3:15" x14ac:dyDescent="0.25">
      <c r="C104" s="358">
        <v>28</v>
      </c>
      <c r="D104" s="25">
        <v>1.85</v>
      </c>
      <c r="E104" s="25">
        <v>4.3</v>
      </c>
      <c r="F104" s="25">
        <v>3.9</v>
      </c>
      <c r="G104" s="26">
        <f>D104*E104</f>
        <v>7.9550000000000001</v>
      </c>
      <c r="H104" s="27">
        <f>2*(D104+E104)*F104-K104-N104</f>
        <v>38.33</v>
      </c>
      <c r="I104" s="25"/>
      <c r="J104" s="30"/>
      <c r="K104" s="29">
        <f>SUM(K105:K108)</f>
        <v>0</v>
      </c>
      <c r="L104" s="25"/>
      <c r="M104" s="30"/>
      <c r="N104" s="29">
        <f>SUM(N105:N108)</f>
        <v>9.64</v>
      </c>
      <c r="O104" s="31">
        <f>SUM(O105:O108)</f>
        <v>4.82</v>
      </c>
    </row>
    <row r="105" spans="3:15" x14ac:dyDescent="0.25">
      <c r="C105" s="359"/>
      <c r="D105" s="7"/>
      <c r="E105" s="7"/>
      <c r="F105" s="7"/>
      <c r="G105" s="8"/>
      <c r="H105" s="9"/>
      <c r="I105" s="7"/>
      <c r="J105" s="10"/>
      <c r="K105" s="10">
        <f>I105*J105</f>
        <v>0</v>
      </c>
      <c r="L105" s="10">
        <v>0.8</v>
      </c>
      <c r="M105" s="10">
        <v>2</v>
      </c>
      <c r="N105" s="10">
        <f>L105*M105</f>
        <v>1.6</v>
      </c>
      <c r="O105" s="50">
        <f>N105/2</f>
        <v>0.8</v>
      </c>
    </row>
    <row r="106" spans="3:15" x14ac:dyDescent="0.25">
      <c r="C106" s="359"/>
      <c r="D106" s="21"/>
      <c r="E106" s="21"/>
      <c r="F106" s="21"/>
      <c r="G106" s="22"/>
      <c r="H106" s="23"/>
      <c r="I106" s="21"/>
      <c r="J106" s="24"/>
      <c r="K106" s="10">
        <f t="shared" ref="K106:K107" si="12">I106*J106</f>
        <v>0</v>
      </c>
      <c r="L106" s="24">
        <v>0.8</v>
      </c>
      <c r="M106" s="24">
        <v>2</v>
      </c>
      <c r="N106" s="10">
        <f t="shared" ref="N106:N107" si="13">L106*M106</f>
        <v>1.6</v>
      </c>
      <c r="O106" s="50">
        <f t="shared" ref="O106:O107" si="14">N106/2</f>
        <v>0.8</v>
      </c>
    </row>
    <row r="107" spans="3:15" x14ac:dyDescent="0.25">
      <c r="C107" s="359"/>
      <c r="D107" s="40"/>
      <c r="E107" s="40"/>
      <c r="F107" s="40"/>
      <c r="G107" s="41"/>
      <c r="H107" s="42"/>
      <c r="I107" s="40"/>
      <c r="J107" s="43"/>
      <c r="K107" s="10">
        <f t="shared" si="12"/>
        <v>0</v>
      </c>
      <c r="L107" s="43">
        <v>0.8</v>
      </c>
      <c r="M107" s="43">
        <v>2</v>
      </c>
      <c r="N107" s="10">
        <f t="shared" si="13"/>
        <v>1.6</v>
      </c>
      <c r="O107" s="50">
        <f t="shared" si="14"/>
        <v>0.8</v>
      </c>
    </row>
    <row r="108" spans="3:15" ht="15.75" thickBot="1" x14ac:dyDescent="0.3">
      <c r="C108" s="360"/>
      <c r="D108" s="32"/>
      <c r="E108" s="32"/>
      <c r="F108" s="32"/>
      <c r="G108" s="33"/>
      <c r="H108" s="34"/>
      <c r="I108" s="35"/>
      <c r="J108" s="35"/>
      <c r="K108" s="32">
        <f>I108*J108</f>
        <v>0</v>
      </c>
      <c r="L108" s="32">
        <v>2.2000000000000002</v>
      </c>
      <c r="M108" s="35">
        <v>2.2000000000000002</v>
      </c>
      <c r="N108" s="32">
        <f>L108*M108</f>
        <v>4.8400000000000007</v>
      </c>
      <c r="O108" s="36">
        <f>N108/2</f>
        <v>2.4200000000000004</v>
      </c>
    </row>
    <row r="109" spans="3:15" s="48" customFormat="1" x14ac:dyDescent="0.25">
      <c r="C109" s="370">
        <v>29</v>
      </c>
      <c r="D109" s="30"/>
      <c r="E109" s="30"/>
      <c r="F109" s="30">
        <v>3.9</v>
      </c>
      <c r="G109" s="26">
        <f>D109*E109</f>
        <v>0</v>
      </c>
      <c r="H109" s="27">
        <f>10.7*F109-K109-N109</f>
        <v>36.65</v>
      </c>
      <c r="I109" s="30"/>
      <c r="J109" s="30"/>
      <c r="K109" s="29">
        <f>SUM(K110:K112)</f>
        <v>1.2800000000000002</v>
      </c>
      <c r="L109" s="30"/>
      <c r="M109" s="30"/>
      <c r="N109" s="29">
        <f>SUM(N110:N112)</f>
        <v>3.8</v>
      </c>
      <c r="O109" s="31">
        <f>SUM(O110:O112)</f>
        <v>2.5</v>
      </c>
    </row>
    <row r="110" spans="3:15" s="48" customFormat="1" x14ac:dyDescent="0.25">
      <c r="C110" s="367"/>
      <c r="D110" s="43">
        <v>0.7</v>
      </c>
      <c r="E110" s="43">
        <v>1.8</v>
      </c>
      <c r="F110" s="43">
        <v>3.9</v>
      </c>
      <c r="G110" s="41"/>
      <c r="H110" s="42"/>
      <c r="I110" s="43">
        <v>0.8</v>
      </c>
      <c r="J110" s="43">
        <v>1.6</v>
      </c>
      <c r="K110" s="43">
        <f>I110*J110</f>
        <v>1.2800000000000002</v>
      </c>
      <c r="L110" s="43">
        <v>0.6</v>
      </c>
      <c r="M110" s="43">
        <v>2</v>
      </c>
      <c r="N110" s="43">
        <f>L110*M110</f>
        <v>1.2</v>
      </c>
      <c r="O110" s="45">
        <f>N110</f>
        <v>1.2</v>
      </c>
    </row>
    <row r="111" spans="3:15" s="48" customFormat="1" x14ac:dyDescent="0.25">
      <c r="C111" s="367"/>
      <c r="D111" s="10">
        <v>1.75</v>
      </c>
      <c r="E111" s="10">
        <v>1.8</v>
      </c>
      <c r="F111" s="10">
        <v>3.9</v>
      </c>
      <c r="G111" s="8"/>
      <c r="H111" s="9"/>
      <c r="I111" s="10"/>
      <c r="J111" s="10"/>
      <c r="K111" s="10">
        <f>I111*J111</f>
        <v>0</v>
      </c>
      <c r="L111" s="10">
        <v>0.6</v>
      </c>
      <c r="M111" s="10">
        <v>2</v>
      </c>
      <c r="N111" s="10">
        <f>L111*M111</f>
        <v>1.2</v>
      </c>
      <c r="O111" s="50">
        <f>N111/2</f>
        <v>0.6</v>
      </c>
    </row>
    <row r="112" spans="3:15" s="48" customFormat="1" ht="15.75" thickBot="1" x14ac:dyDescent="0.3">
      <c r="C112" s="371"/>
      <c r="D112" s="43"/>
      <c r="E112" s="43"/>
      <c r="F112" s="43"/>
      <c r="G112" s="41"/>
      <c r="H112" s="42"/>
      <c r="I112" s="43"/>
      <c r="J112" s="43"/>
      <c r="K112" s="43">
        <f>I112*J112</f>
        <v>0</v>
      </c>
      <c r="L112" s="43">
        <v>0.7</v>
      </c>
      <c r="M112" s="43">
        <v>2</v>
      </c>
      <c r="N112" s="43">
        <f>L112*M112</f>
        <v>1.4</v>
      </c>
      <c r="O112" s="45">
        <f>N112/2</f>
        <v>0.7</v>
      </c>
    </row>
    <row r="113" spans="3:15" x14ac:dyDescent="0.25">
      <c r="C113" s="358">
        <v>30</v>
      </c>
      <c r="D113" s="25">
        <v>0.98</v>
      </c>
      <c r="E113" s="25">
        <v>1.7</v>
      </c>
      <c r="F113" s="25">
        <v>3.9</v>
      </c>
      <c r="G113" s="26">
        <f>D113*E113</f>
        <v>1.6659999999999999</v>
      </c>
      <c r="H113" s="27">
        <f>2*(D113+E113)*F113-K113-N113</f>
        <v>19.703999999999997</v>
      </c>
      <c r="I113" s="25"/>
      <c r="J113" s="30"/>
      <c r="K113" s="29">
        <f>SUM(K114:K114)</f>
        <v>0</v>
      </c>
      <c r="L113" s="25"/>
      <c r="M113" s="30"/>
      <c r="N113" s="29">
        <f>SUM(N114:N114)</f>
        <v>1.2</v>
      </c>
      <c r="O113" s="31">
        <f>SUM(O114:O114)</f>
        <v>0.6</v>
      </c>
    </row>
    <row r="114" spans="3:15" ht="15.75" thickBot="1" x14ac:dyDescent="0.3">
      <c r="C114" s="360"/>
      <c r="D114" s="32"/>
      <c r="E114" s="32"/>
      <c r="F114" s="32"/>
      <c r="G114" s="33"/>
      <c r="H114" s="34"/>
      <c r="I114" s="35"/>
      <c r="J114" s="35"/>
      <c r="K114" s="32">
        <f>I114*J114</f>
        <v>0</v>
      </c>
      <c r="L114" s="32">
        <v>0.6</v>
      </c>
      <c r="M114" s="35">
        <v>2</v>
      </c>
      <c r="N114" s="32">
        <f>L114*M114</f>
        <v>1.2</v>
      </c>
      <c r="O114" s="36">
        <f>N114/2</f>
        <v>0.6</v>
      </c>
    </row>
    <row r="115" spans="3:15" x14ac:dyDescent="0.25">
      <c r="C115" s="358">
        <v>31</v>
      </c>
      <c r="D115" s="25">
        <v>3.6</v>
      </c>
      <c r="E115" s="25">
        <v>5.6</v>
      </c>
      <c r="F115" s="25">
        <v>3.9</v>
      </c>
      <c r="G115" s="26">
        <f>D115*E115</f>
        <v>20.16</v>
      </c>
      <c r="H115" s="27">
        <f>2*(D115+E115)*F115-K115-N115</f>
        <v>66.199999999999989</v>
      </c>
      <c r="I115" s="25"/>
      <c r="J115" s="30"/>
      <c r="K115" s="29">
        <f>SUM(K116:K117)</f>
        <v>2.5600000000000005</v>
      </c>
      <c r="L115" s="25"/>
      <c r="M115" s="30"/>
      <c r="N115" s="29">
        <f>SUM(N116:N117)</f>
        <v>3</v>
      </c>
      <c r="O115" s="31">
        <f>SUM(O116:O117)</f>
        <v>1.5</v>
      </c>
    </row>
    <row r="116" spans="3:15" x14ac:dyDescent="0.25">
      <c r="C116" s="359"/>
      <c r="D116" s="40"/>
      <c r="E116" s="40"/>
      <c r="F116" s="40"/>
      <c r="G116" s="41"/>
      <c r="H116" s="42"/>
      <c r="I116" s="40">
        <v>0.8</v>
      </c>
      <c r="J116" s="43">
        <v>1.6</v>
      </c>
      <c r="K116" s="43">
        <f>I116*J116</f>
        <v>1.2800000000000002</v>
      </c>
      <c r="L116" s="43">
        <v>0.8</v>
      </c>
      <c r="M116" s="43">
        <v>2</v>
      </c>
      <c r="N116" s="43">
        <f>L116*M116</f>
        <v>1.6</v>
      </c>
      <c r="O116" s="45">
        <f>N116/2</f>
        <v>0.8</v>
      </c>
    </row>
    <row r="117" spans="3:15" ht="15.75" thickBot="1" x14ac:dyDescent="0.3">
      <c r="C117" s="360"/>
      <c r="D117" s="32"/>
      <c r="E117" s="32"/>
      <c r="F117" s="32"/>
      <c r="G117" s="33"/>
      <c r="H117" s="34"/>
      <c r="I117" s="35">
        <v>0.8</v>
      </c>
      <c r="J117" s="35">
        <v>1.6</v>
      </c>
      <c r="K117" s="32">
        <f>I117*J117</f>
        <v>1.2800000000000002</v>
      </c>
      <c r="L117" s="32">
        <v>0.7</v>
      </c>
      <c r="M117" s="35">
        <v>2</v>
      </c>
      <c r="N117" s="32">
        <f>L117*M117</f>
        <v>1.4</v>
      </c>
      <c r="O117" s="36">
        <f>N117/2</f>
        <v>0.7</v>
      </c>
    </row>
    <row r="118" spans="3:15" x14ac:dyDescent="0.25">
      <c r="C118" s="358">
        <v>32</v>
      </c>
      <c r="D118" s="25">
        <v>5.3</v>
      </c>
      <c r="E118" s="25">
        <v>5.6</v>
      </c>
      <c r="F118" s="25">
        <v>3.9</v>
      </c>
      <c r="G118" s="26">
        <f>D118*E118</f>
        <v>29.679999999999996</v>
      </c>
      <c r="H118" s="27">
        <f>2*(D118+E118)*F118-K118-N118</f>
        <v>85.019999999999982</v>
      </c>
      <c r="I118" s="25"/>
      <c r="J118" s="30"/>
      <c r="K118" s="29">
        <f>SUM(K119:K119)</f>
        <v>0</v>
      </c>
      <c r="L118" s="25"/>
      <c r="M118" s="30"/>
      <c r="N118" s="29">
        <f>SUM(N119:N119)</f>
        <v>0</v>
      </c>
      <c r="O118" s="31">
        <f>SUM(O119:O119)</f>
        <v>0</v>
      </c>
    </row>
    <row r="119" spans="3:15" ht="15.75" thickBot="1" x14ac:dyDescent="0.3">
      <c r="C119" s="360"/>
      <c r="D119" s="32"/>
      <c r="E119" s="32"/>
      <c r="F119" s="32"/>
      <c r="G119" s="33"/>
      <c r="H119" s="34"/>
      <c r="I119" s="35"/>
      <c r="J119" s="35"/>
      <c r="K119" s="32">
        <f>I119*J119</f>
        <v>0</v>
      </c>
      <c r="L119" s="32"/>
      <c r="M119" s="35"/>
      <c r="N119" s="32">
        <f>L119*M119</f>
        <v>0</v>
      </c>
      <c r="O119" s="36">
        <f>N119/2</f>
        <v>0</v>
      </c>
    </row>
    <row r="120" spans="3:15" s="48" customFormat="1" x14ac:dyDescent="0.25">
      <c r="C120" s="365">
        <v>33</v>
      </c>
      <c r="D120" s="30"/>
      <c r="E120" s="30"/>
      <c r="F120" s="30"/>
      <c r="G120" s="26">
        <f>D120*E120</f>
        <v>0</v>
      </c>
      <c r="H120" s="27">
        <f>37.8*F121+26.9*F122-K120-N120</f>
        <v>427.65999999999997</v>
      </c>
      <c r="I120" s="30"/>
      <c r="J120" s="30"/>
      <c r="K120" s="29">
        <f>SUM(K121:K125)</f>
        <v>19.8</v>
      </c>
      <c r="L120" s="30"/>
      <c r="M120" s="30"/>
      <c r="N120" s="29">
        <f>SUM(N121:N125)</f>
        <v>8.2000000000000011</v>
      </c>
      <c r="O120" s="31">
        <f>SUM(O121:O125)</f>
        <v>4.1000000000000005</v>
      </c>
    </row>
    <row r="121" spans="3:15" s="48" customFormat="1" x14ac:dyDescent="0.25">
      <c r="C121" s="367"/>
      <c r="D121" s="10">
        <v>9.9</v>
      </c>
      <c r="E121" s="10">
        <v>13.95</v>
      </c>
      <c r="F121" s="10">
        <v>7.5</v>
      </c>
      <c r="G121" s="8">
        <f>D121*E121</f>
        <v>138.10499999999999</v>
      </c>
      <c r="H121" s="9"/>
      <c r="I121" s="10">
        <v>1.8</v>
      </c>
      <c r="J121" s="10">
        <v>2.2000000000000002</v>
      </c>
      <c r="K121" s="10">
        <f>I121*J121</f>
        <v>3.9600000000000004</v>
      </c>
      <c r="L121" s="10">
        <v>1.6</v>
      </c>
      <c r="M121" s="10">
        <v>2.1</v>
      </c>
      <c r="N121" s="10">
        <f>L121*M121</f>
        <v>3.3600000000000003</v>
      </c>
      <c r="O121" s="50">
        <f>N121/2</f>
        <v>1.6800000000000002</v>
      </c>
    </row>
    <row r="122" spans="3:15" s="48" customFormat="1" x14ac:dyDescent="0.25">
      <c r="C122" s="367"/>
      <c r="D122" s="24">
        <v>7.7</v>
      </c>
      <c r="E122" s="24">
        <v>11.5</v>
      </c>
      <c r="F122" s="24">
        <v>6.4</v>
      </c>
      <c r="G122" s="22">
        <f>D122*E122</f>
        <v>88.55</v>
      </c>
      <c r="H122" s="23"/>
      <c r="I122" s="24">
        <v>1.8</v>
      </c>
      <c r="J122" s="24">
        <v>2.2000000000000002</v>
      </c>
      <c r="K122" s="10">
        <f t="shared" ref="K122:K124" si="15">I122*J122</f>
        <v>3.9600000000000004</v>
      </c>
      <c r="L122" s="24">
        <v>2.2000000000000002</v>
      </c>
      <c r="M122" s="24">
        <v>2.2000000000000002</v>
      </c>
      <c r="N122" s="10">
        <f t="shared" ref="N122:N124" si="16">L122*M122</f>
        <v>4.8400000000000007</v>
      </c>
      <c r="O122" s="50">
        <f t="shared" ref="O122:O124" si="17">N122/2</f>
        <v>2.4200000000000004</v>
      </c>
    </row>
    <row r="123" spans="3:15" s="48" customFormat="1" x14ac:dyDescent="0.25">
      <c r="C123" s="367"/>
      <c r="D123" s="24"/>
      <c r="E123" s="24"/>
      <c r="F123" s="24"/>
      <c r="G123" s="22"/>
      <c r="H123" s="23"/>
      <c r="I123" s="24">
        <v>1.8</v>
      </c>
      <c r="J123" s="24">
        <v>2.2000000000000002</v>
      </c>
      <c r="K123" s="10">
        <f t="shared" si="15"/>
        <v>3.9600000000000004</v>
      </c>
      <c r="L123" s="24"/>
      <c r="M123" s="24"/>
      <c r="N123" s="10">
        <f t="shared" si="16"/>
        <v>0</v>
      </c>
      <c r="O123" s="50">
        <f t="shared" si="17"/>
        <v>0</v>
      </c>
    </row>
    <row r="124" spans="3:15" s="48" customFormat="1" x14ac:dyDescent="0.25">
      <c r="C124" s="367"/>
      <c r="D124" s="24"/>
      <c r="E124" s="24"/>
      <c r="F124" s="24"/>
      <c r="G124" s="22"/>
      <c r="H124" s="23"/>
      <c r="I124" s="24">
        <v>1.8</v>
      </c>
      <c r="J124" s="24">
        <v>2.2000000000000002</v>
      </c>
      <c r="K124" s="10">
        <f t="shared" si="15"/>
        <v>3.9600000000000004</v>
      </c>
      <c r="L124" s="24"/>
      <c r="M124" s="24"/>
      <c r="N124" s="10">
        <f t="shared" si="16"/>
        <v>0</v>
      </c>
      <c r="O124" s="50">
        <f t="shared" si="17"/>
        <v>0</v>
      </c>
    </row>
    <row r="125" spans="3:15" s="48" customFormat="1" ht="15.75" thickBot="1" x14ac:dyDescent="0.3">
      <c r="C125" s="366"/>
      <c r="D125" s="54"/>
      <c r="E125" s="54"/>
      <c r="F125" s="54"/>
      <c r="G125" s="65"/>
      <c r="H125" s="66"/>
      <c r="I125" s="54">
        <v>1.8</v>
      </c>
      <c r="J125" s="54">
        <v>2.2000000000000002</v>
      </c>
      <c r="K125" s="54">
        <f>I125*J125</f>
        <v>3.9600000000000004</v>
      </c>
      <c r="L125" s="54"/>
      <c r="M125" s="54"/>
      <c r="N125" s="54">
        <f>L125*M125</f>
        <v>0</v>
      </c>
      <c r="O125" s="61">
        <f>N125/2</f>
        <v>0</v>
      </c>
    </row>
    <row r="126" spans="3:15" s="48" customFormat="1" x14ac:dyDescent="0.25">
      <c r="C126" s="49"/>
      <c r="D126" s="46"/>
      <c r="E126" s="46"/>
      <c r="F126" s="46"/>
      <c r="G126" s="47"/>
      <c r="H126" s="47"/>
      <c r="I126" s="46"/>
      <c r="J126" s="46"/>
      <c r="K126" s="46"/>
      <c r="L126" s="46"/>
      <c r="M126" s="46"/>
      <c r="N126" s="46"/>
      <c r="O126" s="46"/>
    </row>
    <row r="127" spans="3:15" x14ac:dyDescent="0.25">
      <c r="C127" s="11" t="s">
        <v>16</v>
      </c>
      <c r="G127" s="12">
        <f>SUM(G51:G125)</f>
        <v>575.61699999999985</v>
      </c>
      <c r="H127" s="12">
        <f>SUM(H51:H125)</f>
        <v>1463.4753999999998</v>
      </c>
      <c r="I127" s="12">
        <f>SUM(I51:I125)</f>
        <v>31.620000000000012</v>
      </c>
      <c r="J127" s="12"/>
      <c r="K127" s="12">
        <f>K51+K55+K58+K61+K64+K71+K73+K78+K82+K86+K88+K91+K94+K98+K102+K104+K109+K113+K115+K118+K120</f>
        <v>48.729200000000006</v>
      </c>
      <c r="L127" s="12"/>
      <c r="M127" s="12"/>
      <c r="N127" s="12"/>
      <c r="O127" s="12">
        <f>O51+O55+O58+O61+O64+O71+O73+O78+O82+O86+O88+O91+O94+O98+O102+O104+O109+O113+O115+O118+O120</f>
        <v>47.580000000000005</v>
      </c>
    </row>
    <row r="128" spans="3:15" ht="15.75" thickBot="1" x14ac:dyDescent="0.3">
      <c r="C128" s="6"/>
    </row>
    <row r="129" spans="3:15" x14ac:dyDescent="0.25">
      <c r="C129" s="361">
        <v>34</v>
      </c>
      <c r="D129" s="25">
        <v>4.9000000000000004</v>
      </c>
      <c r="E129" s="25">
        <v>8.35</v>
      </c>
      <c r="F129" s="25">
        <v>3</v>
      </c>
      <c r="G129" s="26">
        <f>D129*E129</f>
        <v>40.914999999999999</v>
      </c>
      <c r="H129" s="27">
        <f>2*(D129+E129)*F129-K129-N129</f>
        <v>69.02000000000001</v>
      </c>
      <c r="I129" s="25"/>
      <c r="J129" s="30"/>
      <c r="K129" s="29">
        <f>SUM(K130:K134)</f>
        <v>6.8800000000000008</v>
      </c>
      <c r="L129" s="25"/>
      <c r="M129" s="30"/>
      <c r="N129" s="29">
        <f>SUM(N130:N134)</f>
        <v>3.6</v>
      </c>
      <c r="O129" s="31">
        <f>SUM(O130:O134)</f>
        <v>1.8</v>
      </c>
    </row>
    <row r="130" spans="3:15" x14ac:dyDescent="0.25">
      <c r="C130" s="357"/>
      <c r="D130" s="7"/>
      <c r="E130" s="7"/>
      <c r="F130" s="7"/>
      <c r="G130" s="8"/>
      <c r="H130" s="9"/>
      <c r="I130" s="7">
        <v>0.86</v>
      </c>
      <c r="J130" s="10">
        <v>1.6</v>
      </c>
      <c r="K130" s="10">
        <f>I130*J130</f>
        <v>1.3760000000000001</v>
      </c>
      <c r="L130" s="7">
        <v>0.9</v>
      </c>
      <c r="M130" s="10">
        <v>2</v>
      </c>
      <c r="N130" s="7">
        <f>L130*M130</f>
        <v>1.8</v>
      </c>
      <c r="O130" s="37">
        <f>N130/2</f>
        <v>0.9</v>
      </c>
    </row>
    <row r="131" spans="3:15" x14ac:dyDescent="0.25">
      <c r="C131" s="357"/>
      <c r="D131" s="7"/>
      <c r="E131" s="7"/>
      <c r="F131" s="7"/>
      <c r="G131" s="8"/>
      <c r="H131" s="9"/>
      <c r="I131" s="7">
        <v>0.86</v>
      </c>
      <c r="J131" s="10">
        <v>1.6</v>
      </c>
      <c r="K131" s="10">
        <f t="shared" ref="K131:K132" si="18">I131*J131</f>
        <v>1.3760000000000001</v>
      </c>
      <c r="L131" s="21">
        <v>0.9</v>
      </c>
      <c r="M131" s="24">
        <v>2</v>
      </c>
      <c r="N131" s="7">
        <f t="shared" ref="N131:N134" si="19">L131*M131</f>
        <v>1.8</v>
      </c>
      <c r="O131" s="37">
        <f t="shared" ref="O131:O134" si="20">N131/2</f>
        <v>0.9</v>
      </c>
    </row>
    <row r="132" spans="3:15" x14ac:dyDescent="0.25">
      <c r="C132" s="357"/>
      <c r="D132" s="7"/>
      <c r="E132" s="7"/>
      <c r="F132" s="7"/>
      <c r="G132" s="8"/>
      <c r="H132" s="9"/>
      <c r="I132" s="7">
        <v>0.86</v>
      </c>
      <c r="J132" s="10">
        <v>1.6</v>
      </c>
      <c r="K132" s="10">
        <f t="shared" si="18"/>
        <v>1.3760000000000001</v>
      </c>
      <c r="L132" s="21"/>
      <c r="M132" s="24"/>
      <c r="N132" s="7">
        <f t="shared" si="19"/>
        <v>0</v>
      </c>
      <c r="O132" s="37">
        <f t="shared" si="20"/>
        <v>0</v>
      </c>
    </row>
    <row r="133" spans="3:15" x14ac:dyDescent="0.25">
      <c r="C133" s="357"/>
      <c r="D133" s="7"/>
      <c r="E133" s="7"/>
      <c r="F133" s="7"/>
      <c r="G133" s="8"/>
      <c r="H133" s="9"/>
      <c r="I133" s="7">
        <v>0.86</v>
      </c>
      <c r="J133" s="10">
        <v>1.6</v>
      </c>
      <c r="K133" s="10">
        <f>I133*J133</f>
        <v>1.3760000000000001</v>
      </c>
      <c r="L133" s="21"/>
      <c r="M133" s="24"/>
      <c r="N133" s="7">
        <f t="shared" si="19"/>
        <v>0</v>
      </c>
      <c r="O133" s="37">
        <f t="shared" si="20"/>
        <v>0</v>
      </c>
    </row>
    <row r="134" spans="3:15" ht="15.75" thickBot="1" x14ac:dyDescent="0.3">
      <c r="C134" s="362"/>
      <c r="D134" s="32"/>
      <c r="E134" s="32"/>
      <c r="F134" s="32"/>
      <c r="G134" s="33"/>
      <c r="H134" s="34"/>
      <c r="I134" s="32">
        <v>0.86</v>
      </c>
      <c r="J134" s="35">
        <v>1.6</v>
      </c>
      <c r="K134" s="32">
        <f>I134*J134</f>
        <v>1.3760000000000001</v>
      </c>
      <c r="L134" s="32"/>
      <c r="M134" s="35"/>
      <c r="N134" s="7">
        <f t="shared" si="19"/>
        <v>0</v>
      </c>
      <c r="O134" s="37">
        <f t="shared" si="20"/>
        <v>0</v>
      </c>
    </row>
    <row r="135" spans="3:15" x14ac:dyDescent="0.25">
      <c r="C135" s="361">
        <v>35</v>
      </c>
      <c r="D135" s="25">
        <v>3.35</v>
      </c>
      <c r="E135" s="25">
        <v>6.55</v>
      </c>
      <c r="F135" s="25">
        <v>3</v>
      </c>
      <c r="G135" s="26">
        <f>D135*E135</f>
        <v>21.942499999999999</v>
      </c>
      <c r="H135" s="27">
        <f>2*(D135+E135)*F135-K135-N135</f>
        <v>53.440000000000012</v>
      </c>
      <c r="I135" s="25"/>
      <c r="J135" s="30"/>
      <c r="K135" s="29">
        <f>SUM(K136:K136)</f>
        <v>4.16</v>
      </c>
      <c r="L135" s="25"/>
      <c r="M135" s="30"/>
      <c r="N135" s="29">
        <f>SUM(N136:N136)</f>
        <v>1.8</v>
      </c>
      <c r="O135" s="31">
        <f>SUM(O136:O136)</f>
        <v>0.9</v>
      </c>
    </row>
    <row r="136" spans="3:15" ht="15.75" thickBot="1" x14ac:dyDescent="0.3">
      <c r="C136" s="363"/>
      <c r="D136" s="7"/>
      <c r="E136" s="7"/>
      <c r="F136" s="7"/>
      <c r="G136" s="8"/>
      <c r="H136" s="9"/>
      <c r="I136" s="7">
        <v>2.6</v>
      </c>
      <c r="J136" s="10">
        <v>1.6</v>
      </c>
      <c r="K136" s="7">
        <f>I136*J136</f>
        <v>4.16</v>
      </c>
      <c r="L136" s="7">
        <v>0.9</v>
      </c>
      <c r="M136" s="10">
        <v>2</v>
      </c>
      <c r="N136" s="7">
        <f>L136*M136</f>
        <v>1.8</v>
      </c>
      <c r="O136" s="37">
        <f>N136/2</f>
        <v>0.9</v>
      </c>
    </row>
    <row r="137" spans="3:15" ht="15" customHeight="1" x14ac:dyDescent="0.25">
      <c r="C137" s="358">
        <v>36</v>
      </c>
      <c r="D137" s="25">
        <v>3.45</v>
      </c>
      <c r="E137" s="25">
        <v>6.55</v>
      </c>
      <c r="F137" s="25">
        <v>3</v>
      </c>
      <c r="G137" s="26">
        <f>D137*E137</f>
        <v>22.5975</v>
      </c>
      <c r="H137" s="27">
        <f>2*(D137+E137)*F137-K137-N137</f>
        <v>54.040000000000006</v>
      </c>
      <c r="I137" s="25"/>
      <c r="J137" s="30"/>
      <c r="K137" s="29">
        <f>SUM(K138:K138)</f>
        <v>4.16</v>
      </c>
      <c r="L137" s="25"/>
      <c r="M137" s="30"/>
      <c r="N137" s="29">
        <f>SUM(N138:N138)</f>
        <v>1.8</v>
      </c>
      <c r="O137" s="31">
        <f>SUM(O138:O138)</f>
        <v>0.9</v>
      </c>
    </row>
    <row r="138" spans="3:15" ht="15.75" thickBot="1" x14ac:dyDescent="0.3">
      <c r="C138" s="364"/>
      <c r="D138" s="7"/>
      <c r="E138" s="7"/>
      <c r="F138" s="7"/>
      <c r="G138" s="8"/>
      <c r="H138" s="9"/>
      <c r="I138" s="7">
        <v>2.6</v>
      </c>
      <c r="J138" s="10">
        <v>1.6</v>
      </c>
      <c r="K138" s="7">
        <f>I138*J138</f>
        <v>4.16</v>
      </c>
      <c r="L138" s="7">
        <v>0.9</v>
      </c>
      <c r="M138" s="10">
        <v>2</v>
      </c>
      <c r="N138" s="7">
        <f>L138*M138</f>
        <v>1.8</v>
      </c>
      <c r="O138" s="37">
        <f>N138/2</f>
        <v>0.9</v>
      </c>
    </row>
    <row r="139" spans="3:15" x14ac:dyDescent="0.25">
      <c r="C139" s="358">
        <v>37</v>
      </c>
      <c r="D139" s="25">
        <v>2.6</v>
      </c>
      <c r="E139" s="25">
        <v>5.15</v>
      </c>
      <c r="F139" s="25">
        <v>3</v>
      </c>
      <c r="G139" s="26">
        <f>D139*E139</f>
        <v>13.39</v>
      </c>
      <c r="H139" s="27">
        <f>2*(D139+E139)*F139-K139-N139</f>
        <v>38.5</v>
      </c>
      <c r="I139" s="25"/>
      <c r="J139" s="30"/>
      <c r="K139" s="29">
        <f>SUM(K140:K141)</f>
        <v>4.8000000000000007</v>
      </c>
      <c r="L139" s="25"/>
      <c r="M139" s="30"/>
      <c r="N139" s="29">
        <f>SUM(N140:N141)</f>
        <v>3.2</v>
      </c>
      <c r="O139" s="31">
        <f>SUM(O140:O141)</f>
        <v>1.6</v>
      </c>
    </row>
    <row r="140" spans="3:15" x14ac:dyDescent="0.25">
      <c r="C140" s="364"/>
      <c r="D140" s="7"/>
      <c r="E140" s="7"/>
      <c r="F140" s="7"/>
      <c r="G140" s="8"/>
      <c r="H140" s="9"/>
      <c r="I140" s="7">
        <v>2.6</v>
      </c>
      <c r="J140" s="10">
        <v>1.6</v>
      </c>
      <c r="K140" s="7">
        <f>I140*J140</f>
        <v>4.16</v>
      </c>
      <c r="L140" s="7">
        <v>0.8</v>
      </c>
      <c r="M140" s="10">
        <v>2</v>
      </c>
      <c r="N140" s="7">
        <f>L140*M140</f>
        <v>1.6</v>
      </c>
      <c r="O140" s="37">
        <f>N140/2</f>
        <v>0.8</v>
      </c>
    </row>
    <row r="141" spans="3:15" ht="15.75" thickBot="1" x14ac:dyDescent="0.3">
      <c r="C141" s="364"/>
      <c r="D141" s="7"/>
      <c r="E141" s="7"/>
      <c r="F141" s="7"/>
      <c r="G141" s="8"/>
      <c r="H141" s="9"/>
      <c r="I141" s="10">
        <v>0.8</v>
      </c>
      <c r="J141" s="10">
        <v>0.8</v>
      </c>
      <c r="K141" s="7">
        <f>I141*J141</f>
        <v>0.64000000000000012</v>
      </c>
      <c r="L141" s="7">
        <v>0.8</v>
      </c>
      <c r="M141" s="10">
        <v>2</v>
      </c>
      <c r="N141" s="7">
        <f>L141*M141</f>
        <v>1.6</v>
      </c>
      <c r="O141" s="37">
        <f>N141/2</f>
        <v>0.8</v>
      </c>
    </row>
    <row r="142" spans="3:15" s="48" customFormat="1" x14ac:dyDescent="0.25">
      <c r="C142" s="365">
        <v>38</v>
      </c>
      <c r="D142" s="30">
        <v>1.6</v>
      </c>
      <c r="E142" s="30">
        <v>6</v>
      </c>
      <c r="F142" s="30">
        <v>3</v>
      </c>
      <c r="G142" s="26">
        <f>D142*E142</f>
        <v>9.6000000000000014</v>
      </c>
      <c r="H142" s="27">
        <f>13.6*F142-K142-N142</f>
        <v>35.4</v>
      </c>
      <c r="I142" s="30"/>
      <c r="J142" s="30"/>
      <c r="K142" s="29">
        <f>SUM(K145:K145)</f>
        <v>0</v>
      </c>
      <c r="L142" s="30"/>
      <c r="M142" s="30"/>
      <c r="N142" s="29">
        <f>SUM(N143:N145)</f>
        <v>5.4</v>
      </c>
      <c r="O142" s="31">
        <f>SUM(O143:O145)</f>
        <v>2.7</v>
      </c>
    </row>
    <row r="143" spans="3:15" s="48" customFormat="1" x14ac:dyDescent="0.25">
      <c r="C143" s="367"/>
      <c r="D143" s="10"/>
      <c r="E143" s="10"/>
      <c r="F143" s="10"/>
      <c r="G143" s="8"/>
      <c r="H143" s="9"/>
      <c r="I143" s="10"/>
      <c r="J143" s="10"/>
      <c r="K143" s="10">
        <f>I143*J143</f>
        <v>0</v>
      </c>
      <c r="L143" s="10">
        <v>0.9</v>
      </c>
      <c r="M143" s="10">
        <v>2</v>
      </c>
      <c r="N143" s="10">
        <f>L143*M143</f>
        <v>1.8</v>
      </c>
      <c r="O143" s="50">
        <f>N143/2</f>
        <v>0.9</v>
      </c>
    </row>
    <row r="144" spans="3:15" s="48" customFormat="1" x14ac:dyDescent="0.25">
      <c r="C144" s="367"/>
      <c r="D144" s="43"/>
      <c r="E144" s="43"/>
      <c r="F144" s="43"/>
      <c r="G144" s="8"/>
      <c r="H144" s="42"/>
      <c r="I144" s="43"/>
      <c r="J144" s="43"/>
      <c r="K144" s="43">
        <f>I144*J144</f>
        <v>0</v>
      </c>
      <c r="L144" s="43">
        <v>0.9</v>
      </c>
      <c r="M144" s="43">
        <v>2</v>
      </c>
      <c r="N144" s="10">
        <f>L144*M144</f>
        <v>1.8</v>
      </c>
      <c r="O144" s="50">
        <f>N144/2</f>
        <v>0.9</v>
      </c>
    </row>
    <row r="145" spans="3:15" s="48" customFormat="1" ht="15.75" thickBot="1" x14ac:dyDescent="0.3">
      <c r="C145" s="366"/>
      <c r="D145" s="35"/>
      <c r="E145" s="35"/>
      <c r="F145" s="35"/>
      <c r="G145" s="8"/>
      <c r="H145" s="34"/>
      <c r="I145" s="35"/>
      <c r="J145" s="35"/>
      <c r="K145" s="35">
        <f>I145*J145</f>
        <v>0</v>
      </c>
      <c r="L145" s="35">
        <v>0.9</v>
      </c>
      <c r="M145" s="35">
        <v>2</v>
      </c>
      <c r="N145" s="35">
        <f>L145*M145</f>
        <v>1.8</v>
      </c>
      <c r="O145" s="53">
        <f>N145/2</f>
        <v>0.9</v>
      </c>
    </row>
    <row r="146" spans="3:15" s="48" customFormat="1" x14ac:dyDescent="0.25">
      <c r="C146" s="365">
        <v>39</v>
      </c>
      <c r="D146" s="30">
        <v>3.15</v>
      </c>
      <c r="E146" s="30">
        <v>6.25</v>
      </c>
      <c r="F146" s="30">
        <v>3</v>
      </c>
      <c r="G146" s="26">
        <f>D146*E146</f>
        <v>19.6875</v>
      </c>
      <c r="H146" s="27">
        <f>2*(D146+E146)*F146-K146-N146</f>
        <v>52.600000000000009</v>
      </c>
      <c r="I146" s="30"/>
      <c r="J146" s="30"/>
      <c r="K146" s="29">
        <f>SUM(K147:K148)</f>
        <v>0</v>
      </c>
      <c r="L146" s="30"/>
      <c r="M146" s="30"/>
      <c r="N146" s="29">
        <f>SUM(N147:N148)</f>
        <v>3.8000000000000003</v>
      </c>
      <c r="O146" s="31">
        <f>SUM(O147:O148)</f>
        <v>1.9000000000000001</v>
      </c>
    </row>
    <row r="147" spans="3:15" s="48" customFormat="1" x14ac:dyDescent="0.25">
      <c r="C147" s="372"/>
      <c r="D147" s="24"/>
      <c r="E147" s="24"/>
      <c r="F147" s="24"/>
      <c r="G147" s="22"/>
      <c r="H147" s="23"/>
      <c r="I147" s="24"/>
      <c r="J147" s="24"/>
      <c r="K147" s="24">
        <f>I147*J147</f>
        <v>0</v>
      </c>
      <c r="L147" s="24">
        <v>0.8</v>
      </c>
      <c r="M147" s="24">
        <v>2</v>
      </c>
      <c r="N147" s="24">
        <f>L147*M147</f>
        <v>1.6</v>
      </c>
      <c r="O147" s="51">
        <f>N147/2</f>
        <v>0.8</v>
      </c>
    </row>
    <row r="148" spans="3:15" s="48" customFormat="1" ht="15.75" thickBot="1" x14ac:dyDescent="0.3">
      <c r="C148" s="368"/>
      <c r="D148" s="10"/>
      <c r="E148" s="10"/>
      <c r="F148" s="10"/>
      <c r="G148" s="8"/>
      <c r="H148" s="9"/>
      <c r="I148" s="10"/>
      <c r="J148" s="10"/>
      <c r="K148" s="10">
        <f>I148*J148</f>
        <v>0</v>
      </c>
      <c r="L148" s="10">
        <v>1.1000000000000001</v>
      </c>
      <c r="M148" s="10">
        <v>2</v>
      </c>
      <c r="N148" s="10">
        <f>L148*M148</f>
        <v>2.2000000000000002</v>
      </c>
      <c r="O148" s="50">
        <f>N148/2</f>
        <v>1.1000000000000001</v>
      </c>
    </row>
    <row r="149" spans="3:15" x14ac:dyDescent="0.25">
      <c r="C149" s="358">
        <v>40</v>
      </c>
      <c r="D149" s="25">
        <v>3.2</v>
      </c>
      <c r="E149" s="25">
        <v>3.4</v>
      </c>
      <c r="F149" s="25">
        <v>3</v>
      </c>
      <c r="G149" s="26">
        <f>D149*E149</f>
        <v>10.88</v>
      </c>
      <c r="H149" s="27">
        <f>2*(D149+E149)*F149-K149-N149</f>
        <v>35.999999999999993</v>
      </c>
      <c r="I149" s="25"/>
      <c r="J149" s="30"/>
      <c r="K149" s="29">
        <f>SUM(K151:K151)</f>
        <v>0</v>
      </c>
      <c r="L149" s="25"/>
      <c r="M149" s="30"/>
      <c r="N149" s="29">
        <f>SUM(N150:N151)</f>
        <v>3.6</v>
      </c>
      <c r="O149" s="31">
        <f>SUM(O150:O151)</f>
        <v>1.8</v>
      </c>
    </row>
    <row r="150" spans="3:15" x14ac:dyDescent="0.25">
      <c r="C150" s="369"/>
      <c r="D150" s="21"/>
      <c r="E150" s="21"/>
      <c r="F150" s="21"/>
      <c r="G150" s="22"/>
      <c r="H150" s="23"/>
      <c r="I150" s="21"/>
      <c r="J150" s="24"/>
      <c r="K150" s="24">
        <f>I150*J150</f>
        <v>0</v>
      </c>
      <c r="L150" s="24">
        <v>0.9</v>
      </c>
      <c r="M150" s="24">
        <v>2</v>
      </c>
      <c r="N150" s="24">
        <f>L150*M150</f>
        <v>1.8</v>
      </c>
      <c r="O150" s="51">
        <f>N150/2</f>
        <v>0.9</v>
      </c>
    </row>
    <row r="151" spans="3:15" ht="15.75" thickBot="1" x14ac:dyDescent="0.3">
      <c r="C151" s="364"/>
      <c r="D151" s="7"/>
      <c r="E151" s="7"/>
      <c r="F151" s="7"/>
      <c r="G151" s="8"/>
      <c r="H151" s="9"/>
      <c r="I151" s="10"/>
      <c r="J151" s="10"/>
      <c r="K151" s="7">
        <f>I151*J151</f>
        <v>0</v>
      </c>
      <c r="L151" s="7">
        <v>0.9</v>
      </c>
      <c r="M151" s="10">
        <v>2</v>
      </c>
      <c r="N151" s="7">
        <f>L151*M151</f>
        <v>1.8</v>
      </c>
      <c r="O151" s="37">
        <f>N151/2</f>
        <v>0.9</v>
      </c>
    </row>
    <row r="152" spans="3:15" s="48" customFormat="1" x14ac:dyDescent="0.25">
      <c r="C152" s="365">
        <v>41</v>
      </c>
      <c r="D152" s="30"/>
      <c r="E152" s="30"/>
      <c r="F152" s="30">
        <v>3</v>
      </c>
      <c r="G152" s="26">
        <f>D152*E152</f>
        <v>0</v>
      </c>
      <c r="H152" s="27">
        <f>15.7*F152-K152-N152</f>
        <v>37.741599999999998</v>
      </c>
      <c r="I152" s="30"/>
      <c r="J152" s="30"/>
      <c r="K152" s="29">
        <f>SUM(K153:K154)</f>
        <v>4.0583999999999998</v>
      </c>
      <c r="L152" s="30"/>
      <c r="M152" s="30"/>
      <c r="N152" s="29">
        <f>SUM(N153:N154)</f>
        <v>5.3</v>
      </c>
      <c r="O152" s="31">
        <f>SUM(O153:O154)</f>
        <v>2.65</v>
      </c>
    </row>
    <row r="153" spans="3:15" s="48" customFormat="1" x14ac:dyDescent="0.25">
      <c r="C153" s="368"/>
      <c r="D153" s="10">
        <v>3.2</v>
      </c>
      <c r="E153" s="10">
        <v>3.4</v>
      </c>
      <c r="F153" s="10">
        <v>3</v>
      </c>
      <c r="G153" s="8">
        <f>D153*E153</f>
        <v>10.88</v>
      </c>
      <c r="H153" s="9"/>
      <c r="I153" s="10">
        <v>1.1399999999999999</v>
      </c>
      <c r="J153" s="10">
        <v>1.78</v>
      </c>
      <c r="K153" s="10">
        <f>I153*J153</f>
        <v>2.0291999999999999</v>
      </c>
      <c r="L153" s="10">
        <v>1.41</v>
      </c>
      <c r="M153" s="10">
        <v>2</v>
      </c>
      <c r="N153" s="10">
        <f>L153*M153</f>
        <v>2.82</v>
      </c>
      <c r="O153" s="50">
        <f>N153/2</f>
        <v>1.41</v>
      </c>
    </row>
    <row r="154" spans="3:15" s="48" customFormat="1" ht="15.75" thickBot="1" x14ac:dyDescent="0.3">
      <c r="C154" s="366"/>
      <c r="D154" s="35">
        <v>1</v>
      </c>
      <c r="E154" s="35">
        <v>3</v>
      </c>
      <c r="F154" s="35">
        <v>3</v>
      </c>
      <c r="G154" s="33">
        <f>D154*E154</f>
        <v>3</v>
      </c>
      <c r="H154" s="34"/>
      <c r="I154" s="35">
        <v>1.1399999999999999</v>
      </c>
      <c r="J154" s="35">
        <v>1.78</v>
      </c>
      <c r="K154" s="35">
        <f>I154*J154</f>
        <v>2.0291999999999999</v>
      </c>
      <c r="L154" s="35">
        <v>1.24</v>
      </c>
      <c r="M154" s="35">
        <v>2</v>
      </c>
      <c r="N154" s="35">
        <f t="shared" ref="N154" si="21">L154*M154</f>
        <v>2.48</v>
      </c>
      <c r="O154" s="53">
        <f t="shared" ref="O154" si="22">N154/2</f>
        <v>1.24</v>
      </c>
    </row>
    <row r="155" spans="3:15" x14ac:dyDescent="0.25">
      <c r="C155" s="358">
        <v>42</v>
      </c>
      <c r="D155" s="25">
        <v>2</v>
      </c>
      <c r="E155" s="25">
        <v>2.6</v>
      </c>
      <c r="F155" s="25">
        <v>3</v>
      </c>
      <c r="G155" s="26">
        <f>D155*E155</f>
        <v>5.2</v>
      </c>
      <c r="H155" s="27">
        <f>2*(D155+E155)*F155-K155-N155</f>
        <v>25.799999999999997</v>
      </c>
      <c r="I155" s="25"/>
      <c r="J155" s="30"/>
      <c r="K155" s="29">
        <f>SUM(K156)</f>
        <v>0</v>
      </c>
      <c r="L155" s="25"/>
      <c r="M155" s="30"/>
      <c r="N155" s="29">
        <f>SUM(N156:N156)</f>
        <v>1.8</v>
      </c>
      <c r="O155" s="31">
        <f>SUM(O156:O156)</f>
        <v>0.9</v>
      </c>
    </row>
    <row r="156" spans="3:15" ht="15.75" thickBot="1" x14ac:dyDescent="0.3">
      <c r="C156" s="359"/>
      <c r="D156" s="7"/>
      <c r="E156" s="7"/>
      <c r="F156" s="7"/>
      <c r="G156" s="8"/>
      <c r="H156" s="9"/>
      <c r="I156" s="7"/>
      <c r="J156" s="10"/>
      <c r="K156" s="10">
        <f>I156*J156</f>
        <v>0</v>
      </c>
      <c r="L156" s="10">
        <v>0.9</v>
      </c>
      <c r="M156" s="10">
        <v>2</v>
      </c>
      <c r="N156" s="10">
        <f>L156*M156</f>
        <v>1.8</v>
      </c>
      <c r="O156" s="50">
        <f>N156/2</f>
        <v>0.9</v>
      </c>
    </row>
    <row r="157" spans="3:15" s="48" customFormat="1" ht="15.75" thickBot="1" x14ac:dyDescent="0.3">
      <c r="C157" s="62">
        <v>43</v>
      </c>
      <c r="D157" s="30">
        <v>1.55</v>
      </c>
      <c r="E157" s="30">
        <v>3.05</v>
      </c>
      <c r="F157" s="30">
        <v>3</v>
      </c>
      <c r="G157" s="26">
        <f>D157*E157</f>
        <v>4.7275</v>
      </c>
      <c r="H157" s="27">
        <f>2*(D157+E157)*F157</f>
        <v>27.599999999999998</v>
      </c>
      <c r="I157" s="30"/>
      <c r="J157" s="30"/>
      <c r="K157" s="63" t="s">
        <v>26</v>
      </c>
      <c r="L157" s="30"/>
      <c r="M157" s="30"/>
      <c r="N157" s="63" t="s">
        <v>26</v>
      </c>
      <c r="O157" s="64" t="s">
        <v>26</v>
      </c>
    </row>
    <row r="158" spans="3:15" s="48" customFormat="1" x14ac:dyDescent="0.25">
      <c r="C158" s="365">
        <v>44</v>
      </c>
      <c r="D158" s="30">
        <v>2.5499999999999998</v>
      </c>
      <c r="E158" s="30">
        <v>3.95</v>
      </c>
      <c r="F158" s="30">
        <v>3</v>
      </c>
      <c r="G158" s="26">
        <f>D158*E158</f>
        <v>10.0725</v>
      </c>
      <c r="H158" s="27">
        <f>2*(D158+E158)*F158-K158-N158</f>
        <v>35.92</v>
      </c>
      <c r="I158" s="30"/>
      <c r="J158" s="30"/>
      <c r="K158" s="29">
        <f>SUM(K159:K159)</f>
        <v>1.2800000000000002</v>
      </c>
      <c r="L158" s="30"/>
      <c r="M158" s="30"/>
      <c r="N158" s="29">
        <f>SUM(N159:N159)</f>
        <v>1.8</v>
      </c>
      <c r="O158" s="31">
        <f>SUM(O159:O159)</f>
        <v>0.9</v>
      </c>
    </row>
    <row r="159" spans="3:15" s="48" customFormat="1" ht="15.75" thickBot="1" x14ac:dyDescent="0.3">
      <c r="C159" s="366"/>
      <c r="D159" s="35"/>
      <c r="E159" s="35"/>
      <c r="F159" s="35"/>
      <c r="G159" s="33"/>
      <c r="H159" s="34"/>
      <c r="I159" s="35">
        <v>0.8</v>
      </c>
      <c r="J159" s="35">
        <v>1.6</v>
      </c>
      <c r="K159" s="35">
        <f>I159*J159</f>
        <v>1.2800000000000002</v>
      </c>
      <c r="L159" s="35">
        <v>0.9</v>
      </c>
      <c r="M159" s="35">
        <v>2</v>
      </c>
      <c r="N159" s="35">
        <f>L159*M159</f>
        <v>1.8</v>
      </c>
      <c r="O159" s="53">
        <f>N159/2</f>
        <v>0.9</v>
      </c>
    </row>
    <row r="160" spans="3:15" x14ac:dyDescent="0.25">
      <c r="C160" s="358">
        <v>45</v>
      </c>
      <c r="D160" s="25">
        <v>3.95</v>
      </c>
      <c r="E160" s="25">
        <v>5.6</v>
      </c>
      <c r="F160" s="25">
        <v>3</v>
      </c>
      <c r="G160" s="26">
        <f>D160*E160</f>
        <v>22.12</v>
      </c>
      <c r="H160" s="27">
        <f>2*(D160+E160)*F160-K160-N160</f>
        <v>51.660000000000004</v>
      </c>
      <c r="I160" s="25"/>
      <c r="J160" s="30"/>
      <c r="K160" s="29">
        <f>SUM(K161:K163)</f>
        <v>3.8400000000000007</v>
      </c>
      <c r="L160" s="25"/>
      <c r="M160" s="30"/>
      <c r="N160" s="29">
        <f>SUM(N161:N163)</f>
        <v>1.8</v>
      </c>
      <c r="O160" s="31">
        <f>SUM(O161:O163)</f>
        <v>0.9</v>
      </c>
    </row>
    <row r="161" spans="3:15" x14ac:dyDescent="0.25">
      <c r="C161" s="359"/>
      <c r="D161" s="7"/>
      <c r="E161" s="7"/>
      <c r="F161" s="7"/>
      <c r="G161" s="8"/>
      <c r="H161" s="9"/>
      <c r="I161" s="7">
        <v>0.8</v>
      </c>
      <c r="J161" s="10">
        <v>1.6</v>
      </c>
      <c r="K161" s="10">
        <f>I161*J161</f>
        <v>1.2800000000000002</v>
      </c>
      <c r="L161" s="10">
        <v>0.9</v>
      </c>
      <c r="M161" s="10">
        <v>2</v>
      </c>
      <c r="N161" s="10">
        <f>L161*M161</f>
        <v>1.8</v>
      </c>
      <c r="O161" s="50">
        <f>N161/2</f>
        <v>0.9</v>
      </c>
    </row>
    <row r="162" spans="3:15" x14ac:dyDescent="0.25">
      <c r="C162" s="359"/>
      <c r="D162" s="40"/>
      <c r="E162" s="40"/>
      <c r="F162" s="40"/>
      <c r="G162" s="41"/>
      <c r="H162" s="42"/>
      <c r="I162" s="7">
        <v>0.8</v>
      </c>
      <c r="J162" s="10">
        <v>1.6</v>
      </c>
      <c r="K162" s="10">
        <f>I162*J162</f>
        <v>1.2800000000000002</v>
      </c>
      <c r="L162" s="43"/>
      <c r="M162" s="43"/>
      <c r="N162" s="43"/>
      <c r="O162" s="45"/>
    </row>
    <row r="163" spans="3:15" ht="15.75" thickBot="1" x14ac:dyDescent="0.3">
      <c r="C163" s="360"/>
      <c r="D163" s="32"/>
      <c r="E163" s="32"/>
      <c r="F163" s="32"/>
      <c r="G163" s="33"/>
      <c r="H163" s="34"/>
      <c r="I163" s="35">
        <v>0.8</v>
      </c>
      <c r="J163" s="35">
        <v>1.6</v>
      </c>
      <c r="K163" s="32">
        <f>I163*J163</f>
        <v>1.2800000000000002</v>
      </c>
      <c r="L163" s="32"/>
      <c r="M163" s="35"/>
      <c r="N163" s="32">
        <f>L163*M163</f>
        <v>0</v>
      </c>
      <c r="O163" s="36">
        <f>N163/2</f>
        <v>0</v>
      </c>
    </row>
    <row r="164" spans="3:15" s="48" customFormat="1" x14ac:dyDescent="0.25">
      <c r="C164" s="365">
        <v>46</v>
      </c>
      <c r="D164" s="30">
        <v>1.8</v>
      </c>
      <c r="E164" s="30">
        <v>3.95</v>
      </c>
      <c r="F164" s="30">
        <v>3</v>
      </c>
      <c r="G164" s="26">
        <f>D164*E164</f>
        <v>7.11</v>
      </c>
      <c r="H164" s="27">
        <f>2*(D164+E164)*F164-K164-N164</f>
        <v>29.82</v>
      </c>
      <c r="I164" s="30"/>
      <c r="J164" s="30"/>
      <c r="K164" s="29">
        <f>SUM(K165:K166)</f>
        <v>1.2800000000000002</v>
      </c>
      <c r="L164" s="30"/>
      <c r="M164" s="30"/>
      <c r="N164" s="29">
        <f>SUM(N165:N166)</f>
        <v>3.4000000000000004</v>
      </c>
      <c r="O164" s="31">
        <f>SUM(O165:O166)</f>
        <v>1.7000000000000002</v>
      </c>
    </row>
    <row r="165" spans="3:15" s="48" customFormat="1" x14ac:dyDescent="0.25">
      <c r="C165" s="367"/>
      <c r="D165" s="43"/>
      <c r="E165" s="43"/>
      <c r="F165" s="43"/>
      <c r="G165" s="41"/>
      <c r="H165" s="42"/>
      <c r="I165" s="10">
        <v>0.8</v>
      </c>
      <c r="J165" s="10">
        <v>1.6</v>
      </c>
      <c r="K165" s="10">
        <f>I165*J165</f>
        <v>1.2800000000000002</v>
      </c>
      <c r="L165" s="43">
        <v>0.8</v>
      </c>
      <c r="M165" s="43">
        <v>2</v>
      </c>
      <c r="N165" s="43">
        <f>L165*M165</f>
        <v>1.6</v>
      </c>
      <c r="O165" s="45">
        <f>N165/2</f>
        <v>0.8</v>
      </c>
    </row>
    <row r="166" spans="3:15" s="48" customFormat="1" ht="15.75" thickBot="1" x14ac:dyDescent="0.3">
      <c r="C166" s="366"/>
      <c r="D166" s="35"/>
      <c r="E166" s="35"/>
      <c r="F166" s="35"/>
      <c r="G166" s="33"/>
      <c r="H166" s="34"/>
      <c r="I166" s="54"/>
      <c r="J166" s="54"/>
      <c r="K166" s="54">
        <f>I166*J166</f>
        <v>0</v>
      </c>
      <c r="L166" s="35">
        <v>0.9</v>
      </c>
      <c r="M166" s="35">
        <v>2</v>
      </c>
      <c r="N166" s="35">
        <f>L166*M166</f>
        <v>1.8</v>
      </c>
      <c r="O166" s="53">
        <f>N166/2</f>
        <v>0.9</v>
      </c>
    </row>
    <row r="167" spans="3:15" x14ac:dyDescent="0.25">
      <c r="C167" s="358">
        <v>47</v>
      </c>
      <c r="D167" s="25">
        <v>0.95</v>
      </c>
      <c r="E167" s="25">
        <v>1.5</v>
      </c>
      <c r="F167" s="25">
        <v>3</v>
      </c>
      <c r="G167" s="26">
        <f>D167*E167</f>
        <v>1.4249999999999998</v>
      </c>
      <c r="H167" s="27">
        <f>2*(D167+E167)*F167-K167-N167</f>
        <v>11.820000000000002</v>
      </c>
      <c r="I167" s="25"/>
      <c r="J167" s="30"/>
      <c r="K167" s="29">
        <f>SUM(K168:K168)</f>
        <v>1.2800000000000002</v>
      </c>
      <c r="L167" s="25"/>
      <c r="M167" s="30"/>
      <c r="N167" s="29">
        <f>SUM(N168)</f>
        <v>1.6</v>
      </c>
      <c r="O167" s="31">
        <f>SUM(O168)</f>
        <v>0.8</v>
      </c>
    </row>
    <row r="168" spans="3:15" ht="15.75" thickBot="1" x14ac:dyDescent="0.3">
      <c r="C168" s="359"/>
      <c r="D168" s="7"/>
      <c r="E168" s="7"/>
      <c r="F168" s="7"/>
      <c r="G168" s="8"/>
      <c r="H168" s="9"/>
      <c r="I168" s="7">
        <v>0.8</v>
      </c>
      <c r="J168" s="10">
        <v>1.6</v>
      </c>
      <c r="K168" s="10">
        <f>I168*J168</f>
        <v>1.2800000000000002</v>
      </c>
      <c r="L168" s="10">
        <v>0.8</v>
      </c>
      <c r="M168" s="10">
        <v>2</v>
      </c>
      <c r="N168" s="10">
        <f>L168*M168</f>
        <v>1.6</v>
      </c>
      <c r="O168" s="50">
        <f>N168/2</f>
        <v>0.8</v>
      </c>
    </row>
    <row r="169" spans="3:15" x14ac:dyDescent="0.25">
      <c r="C169" s="358">
        <v>48</v>
      </c>
      <c r="D169" s="25">
        <v>1</v>
      </c>
      <c r="E169" s="25">
        <v>1.5</v>
      </c>
      <c r="F169" s="25">
        <v>3</v>
      </c>
      <c r="G169" s="26">
        <f>D169*E169</f>
        <v>1.5</v>
      </c>
      <c r="H169" s="27">
        <f>2*(D169+E169)*F169-K169-N169</f>
        <v>13.4</v>
      </c>
      <c r="I169" s="25"/>
      <c r="J169" s="30"/>
      <c r="K169" s="29">
        <f>SUM(K170)</f>
        <v>0</v>
      </c>
      <c r="L169" s="25"/>
      <c r="M169" s="30"/>
      <c r="N169" s="29">
        <f>SUM(N170:N170)</f>
        <v>1.6</v>
      </c>
      <c r="O169" s="31">
        <f>SUM(O170:O170)</f>
        <v>0.8</v>
      </c>
    </row>
    <row r="170" spans="3:15" ht="15.75" thickBot="1" x14ac:dyDescent="0.3">
      <c r="C170" s="359"/>
      <c r="D170" s="7"/>
      <c r="E170" s="7"/>
      <c r="F170" s="7"/>
      <c r="G170" s="8"/>
      <c r="H170" s="9"/>
      <c r="I170" s="7"/>
      <c r="J170" s="10"/>
      <c r="K170" s="10">
        <f>I170*J170</f>
        <v>0</v>
      </c>
      <c r="L170" s="10">
        <v>0.8</v>
      </c>
      <c r="M170" s="10">
        <v>2</v>
      </c>
      <c r="N170" s="10">
        <f>L170*M170</f>
        <v>1.6</v>
      </c>
      <c r="O170" s="50">
        <f>N170/2</f>
        <v>0.8</v>
      </c>
    </row>
    <row r="171" spans="3:15" x14ac:dyDescent="0.25">
      <c r="C171" s="358">
        <v>49</v>
      </c>
      <c r="D171" s="25">
        <v>1.5</v>
      </c>
      <c r="E171" s="25">
        <v>1.6</v>
      </c>
      <c r="F171" s="25">
        <v>3</v>
      </c>
      <c r="G171" s="26">
        <f>D171*E171</f>
        <v>2.4000000000000004</v>
      </c>
      <c r="H171" s="27">
        <f>2*(D171+E171)*F171-K171-N171</f>
        <v>15.200000000000001</v>
      </c>
      <c r="I171" s="25"/>
      <c r="J171" s="30"/>
      <c r="K171" s="29">
        <f>SUM(K172:K173)</f>
        <v>0</v>
      </c>
      <c r="L171" s="25"/>
      <c r="M171" s="30"/>
      <c r="N171" s="29">
        <f>SUM(N172:N173)</f>
        <v>3.4000000000000004</v>
      </c>
      <c r="O171" s="31">
        <f>SUM(O172:O173)</f>
        <v>1.7000000000000002</v>
      </c>
    </row>
    <row r="172" spans="3:15" x14ac:dyDescent="0.25">
      <c r="C172" s="359"/>
      <c r="D172" s="40"/>
      <c r="E172" s="40"/>
      <c r="F172" s="40"/>
      <c r="G172" s="41"/>
      <c r="H172" s="42"/>
      <c r="I172" s="40"/>
      <c r="J172" s="43"/>
      <c r="K172" s="43">
        <f>I172*J172</f>
        <v>0</v>
      </c>
      <c r="L172" s="43">
        <v>0.8</v>
      </c>
      <c r="M172" s="43">
        <v>2</v>
      </c>
      <c r="N172" s="43">
        <f>L172*M172</f>
        <v>1.6</v>
      </c>
      <c r="O172" s="45">
        <f>N172/2</f>
        <v>0.8</v>
      </c>
    </row>
    <row r="173" spans="3:15" ht="15.75" thickBot="1" x14ac:dyDescent="0.3">
      <c r="C173" s="360"/>
      <c r="D173" s="32"/>
      <c r="E173" s="32"/>
      <c r="F173" s="32"/>
      <c r="G173" s="33"/>
      <c r="H173" s="34"/>
      <c r="I173" s="35"/>
      <c r="J173" s="35"/>
      <c r="K173" s="32">
        <f>I173*J173</f>
        <v>0</v>
      </c>
      <c r="L173" s="32">
        <v>0.9</v>
      </c>
      <c r="M173" s="35">
        <v>2</v>
      </c>
      <c r="N173" s="32">
        <f>L173*M173</f>
        <v>1.8</v>
      </c>
      <c r="O173" s="36">
        <f>N173/2</f>
        <v>0.9</v>
      </c>
    </row>
    <row r="174" spans="3:15" x14ac:dyDescent="0.25">
      <c r="C174" s="358">
        <v>50</v>
      </c>
      <c r="D174" s="25">
        <v>1.45</v>
      </c>
      <c r="E174" s="25">
        <v>12.05</v>
      </c>
      <c r="F174" s="25">
        <v>3</v>
      </c>
      <c r="G174" s="26">
        <f>D174*E174</f>
        <v>17.4725</v>
      </c>
      <c r="H174" s="27">
        <f>2*(D174+E174)*F174-K174-N174</f>
        <v>69.8</v>
      </c>
      <c r="I174" s="25"/>
      <c r="J174" s="30"/>
      <c r="K174" s="29">
        <f>SUM(K175:K180)</f>
        <v>0</v>
      </c>
      <c r="L174" s="25"/>
      <c r="M174" s="30"/>
      <c r="N174" s="29">
        <f>SUM(N175:N180)</f>
        <v>11.200000000000001</v>
      </c>
      <c r="O174" s="31">
        <f>SUM(O175:O180)</f>
        <v>5.6000000000000005</v>
      </c>
    </row>
    <row r="175" spans="3:15" x14ac:dyDescent="0.25">
      <c r="C175" s="359"/>
      <c r="D175" s="7"/>
      <c r="E175" s="7"/>
      <c r="F175" s="7"/>
      <c r="G175" s="8"/>
      <c r="H175" s="9"/>
      <c r="I175" s="7"/>
      <c r="J175" s="10"/>
      <c r="K175" s="10">
        <f>I175*J175</f>
        <v>0</v>
      </c>
      <c r="L175" s="10">
        <v>1.1000000000000001</v>
      </c>
      <c r="M175" s="10">
        <v>2</v>
      </c>
      <c r="N175" s="10">
        <f>L175*M175</f>
        <v>2.2000000000000002</v>
      </c>
      <c r="O175" s="50">
        <f>N175/2</f>
        <v>1.1000000000000001</v>
      </c>
    </row>
    <row r="176" spans="3:15" x14ac:dyDescent="0.25">
      <c r="C176" s="359"/>
      <c r="D176" s="21"/>
      <c r="E176" s="21"/>
      <c r="F176" s="21"/>
      <c r="G176" s="22"/>
      <c r="H176" s="23"/>
      <c r="I176" s="21"/>
      <c r="J176" s="24"/>
      <c r="K176" s="10">
        <f t="shared" ref="K176:K177" si="23">I176*J176</f>
        <v>0</v>
      </c>
      <c r="L176" s="24">
        <v>0.9</v>
      </c>
      <c r="M176" s="24">
        <v>2</v>
      </c>
      <c r="N176" s="10">
        <f t="shared" ref="N176:N179" si="24">L176*M176</f>
        <v>1.8</v>
      </c>
      <c r="O176" s="50">
        <f t="shared" ref="O176:O179" si="25">N176/2</f>
        <v>0.9</v>
      </c>
    </row>
    <row r="177" spans="3:15" x14ac:dyDescent="0.25">
      <c r="C177" s="359"/>
      <c r="D177" s="7"/>
      <c r="E177" s="7"/>
      <c r="F177" s="7"/>
      <c r="G177" s="8"/>
      <c r="H177" s="9"/>
      <c r="I177" s="7"/>
      <c r="J177" s="10"/>
      <c r="K177" s="10">
        <f t="shared" si="23"/>
        <v>0</v>
      </c>
      <c r="L177" s="10">
        <v>0.9</v>
      </c>
      <c r="M177" s="10">
        <v>2</v>
      </c>
      <c r="N177" s="10">
        <f t="shared" si="24"/>
        <v>1.8</v>
      </c>
      <c r="O177" s="50">
        <f t="shared" si="25"/>
        <v>0.9</v>
      </c>
    </row>
    <row r="178" spans="3:15" x14ac:dyDescent="0.25">
      <c r="C178" s="359"/>
      <c r="D178" s="7"/>
      <c r="E178" s="7"/>
      <c r="F178" s="7"/>
      <c r="G178" s="8"/>
      <c r="H178" s="9"/>
      <c r="I178" s="7"/>
      <c r="J178" s="10"/>
      <c r="K178" s="10">
        <f>I178*J178</f>
        <v>0</v>
      </c>
      <c r="L178" s="10">
        <v>0.9</v>
      </c>
      <c r="M178" s="10">
        <v>2</v>
      </c>
      <c r="N178" s="10">
        <f t="shared" si="24"/>
        <v>1.8</v>
      </c>
      <c r="O178" s="50">
        <f t="shared" si="25"/>
        <v>0.9</v>
      </c>
    </row>
    <row r="179" spans="3:15" x14ac:dyDescent="0.25">
      <c r="C179" s="359"/>
      <c r="D179" s="40"/>
      <c r="E179" s="40"/>
      <c r="F179" s="40"/>
      <c r="G179" s="41"/>
      <c r="H179" s="42"/>
      <c r="I179" s="40"/>
      <c r="J179" s="43"/>
      <c r="K179" s="43">
        <f>I179*J179</f>
        <v>0</v>
      </c>
      <c r="L179" s="43">
        <v>0.9</v>
      </c>
      <c r="M179" s="43">
        <v>2</v>
      </c>
      <c r="N179" s="43">
        <f t="shared" si="24"/>
        <v>1.8</v>
      </c>
      <c r="O179" s="45">
        <f t="shared" si="25"/>
        <v>0.9</v>
      </c>
    </row>
    <row r="180" spans="3:15" ht="15.75" thickBot="1" x14ac:dyDescent="0.3">
      <c r="C180" s="360"/>
      <c r="D180" s="32"/>
      <c r="E180" s="32"/>
      <c r="F180" s="32"/>
      <c r="G180" s="33"/>
      <c r="H180" s="34"/>
      <c r="I180" s="35"/>
      <c r="J180" s="35"/>
      <c r="K180" s="32">
        <f>I180*J180</f>
        <v>0</v>
      </c>
      <c r="L180" s="32">
        <v>0.9</v>
      </c>
      <c r="M180" s="35">
        <v>2</v>
      </c>
      <c r="N180" s="32">
        <f>L180*M180</f>
        <v>1.8</v>
      </c>
      <c r="O180" s="36">
        <f>N180/2</f>
        <v>0.9</v>
      </c>
    </row>
    <row r="181" spans="3:15" s="48" customFormat="1" x14ac:dyDescent="0.25">
      <c r="C181" s="365">
        <v>51</v>
      </c>
      <c r="D181" s="30">
        <v>5.6</v>
      </c>
      <c r="E181" s="30">
        <v>14.45</v>
      </c>
      <c r="F181" s="30">
        <v>3</v>
      </c>
      <c r="G181" s="26">
        <f>D181*E181</f>
        <v>80.919999999999987</v>
      </c>
      <c r="H181" s="58">
        <f>2*(D181+E181)*F181-K181-N181</f>
        <v>103.93999999999998</v>
      </c>
      <c r="I181" s="30"/>
      <c r="J181" s="30"/>
      <c r="K181" s="59">
        <f>SUM(K182:K189)</f>
        <v>14.560000000000002</v>
      </c>
      <c r="L181" s="30"/>
      <c r="M181" s="30"/>
      <c r="N181" s="59">
        <f>SUM(N182:N189)</f>
        <v>1.8</v>
      </c>
      <c r="O181" s="60">
        <f>SUM(O182:O189)</f>
        <v>0.9</v>
      </c>
    </row>
    <row r="182" spans="3:15" s="48" customFormat="1" x14ac:dyDescent="0.25">
      <c r="C182" s="367"/>
      <c r="D182" s="24"/>
      <c r="E182" s="24"/>
      <c r="F182" s="24"/>
      <c r="G182" s="22"/>
      <c r="H182" s="55"/>
      <c r="I182" s="24">
        <v>0.8</v>
      </c>
      <c r="J182" s="24">
        <v>1.6</v>
      </c>
      <c r="K182" s="24">
        <f>I182*J182</f>
        <v>1.2800000000000002</v>
      </c>
      <c r="L182" s="24">
        <v>0.9</v>
      </c>
      <c r="M182" s="24">
        <v>2</v>
      </c>
      <c r="N182" s="24">
        <f>L182*M182</f>
        <v>1.8</v>
      </c>
      <c r="O182" s="51">
        <f>N182/2</f>
        <v>0.9</v>
      </c>
    </row>
    <row r="183" spans="3:15" s="48" customFormat="1" x14ac:dyDescent="0.25">
      <c r="C183" s="367"/>
      <c r="D183" s="24"/>
      <c r="E183" s="24"/>
      <c r="F183" s="24"/>
      <c r="G183" s="22"/>
      <c r="H183" s="55"/>
      <c r="I183" s="24">
        <v>0.8</v>
      </c>
      <c r="J183" s="24">
        <v>1.6</v>
      </c>
      <c r="K183" s="24">
        <f t="shared" ref="K183:K189" si="26">I183*J183</f>
        <v>1.2800000000000002</v>
      </c>
      <c r="L183" s="24"/>
      <c r="M183" s="24"/>
      <c r="N183" s="24">
        <f t="shared" ref="N183:N189" si="27">L183*M183</f>
        <v>0</v>
      </c>
      <c r="O183" s="51">
        <f t="shared" ref="O183:O189" si="28">N183/2</f>
        <v>0</v>
      </c>
    </row>
    <row r="184" spans="3:15" s="48" customFormat="1" x14ac:dyDescent="0.25">
      <c r="C184" s="367"/>
      <c r="D184" s="24"/>
      <c r="E184" s="24"/>
      <c r="F184" s="24"/>
      <c r="G184" s="22"/>
      <c r="H184" s="55"/>
      <c r="I184" s="24">
        <v>0.8</v>
      </c>
      <c r="J184" s="24">
        <v>1.6</v>
      </c>
      <c r="K184" s="24">
        <f t="shared" si="26"/>
        <v>1.2800000000000002</v>
      </c>
      <c r="L184" s="24"/>
      <c r="M184" s="24"/>
      <c r="N184" s="24">
        <f t="shared" si="27"/>
        <v>0</v>
      </c>
      <c r="O184" s="51">
        <f t="shared" si="28"/>
        <v>0</v>
      </c>
    </row>
    <row r="185" spans="3:15" s="48" customFormat="1" x14ac:dyDescent="0.25">
      <c r="C185" s="367"/>
      <c r="D185" s="24"/>
      <c r="E185" s="24"/>
      <c r="F185" s="24"/>
      <c r="G185" s="22"/>
      <c r="H185" s="55"/>
      <c r="I185" s="24">
        <v>0.8</v>
      </c>
      <c r="J185" s="24">
        <v>1.6</v>
      </c>
      <c r="K185" s="24">
        <f t="shared" si="26"/>
        <v>1.2800000000000002</v>
      </c>
      <c r="L185" s="24"/>
      <c r="M185" s="24"/>
      <c r="N185" s="24">
        <f t="shared" si="27"/>
        <v>0</v>
      </c>
      <c r="O185" s="51">
        <f t="shared" si="28"/>
        <v>0</v>
      </c>
    </row>
    <row r="186" spans="3:15" s="48" customFormat="1" x14ac:dyDescent="0.25">
      <c r="C186" s="367"/>
      <c r="D186" s="24"/>
      <c r="E186" s="24"/>
      <c r="F186" s="24"/>
      <c r="G186" s="22"/>
      <c r="H186" s="55"/>
      <c r="I186" s="24">
        <v>0.8</v>
      </c>
      <c r="J186" s="24">
        <v>1.6</v>
      </c>
      <c r="K186" s="24">
        <f t="shared" si="26"/>
        <v>1.2800000000000002</v>
      </c>
      <c r="L186" s="24"/>
      <c r="M186" s="24"/>
      <c r="N186" s="24">
        <f t="shared" si="27"/>
        <v>0</v>
      </c>
      <c r="O186" s="51">
        <f t="shared" si="28"/>
        <v>0</v>
      </c>
    </row>
    <row r="187" spans="3:15" s="48" customFormat="1" x14ac:dyDescent="0.25">
      <c r="C187" s="367"/>
      <c r="D187" s="24"/>
      <c r="E187" s="24"/>
      <c r="F187" s="24"/>
      <c r="G187" s="22"/>
      <c r="H187" s="55"/>
      <c r="I187" s="24">
        <v>1.7</v>
      </c>
      <c r="J187" s="24">
        <v>1.6</v>
      </c>
      <c r="K187" s="24">
        <f t="shared" si="26"/>
        <v>2.72</v>
      </c>
      <c r="L187" s="24"/>
      <c r="M187" s="24"/>
      <c r="N187" s="24">
        <f t="shared" si="27"/>
        <v>0</v>
      </c>
      <c r="O187" s="51">
        <f t="shared" si="28"/>
        <v>0</v>
      </c>
    </row>
    <row r="188" spans="3:15" s="48" customFormat="1" x14ac:dyDescent="0.25">
      <c r="C188" s="367"/>
      <c r="D188" s="43"/>
      <c r="E188" s="43"/>
      <c r="F188" s="43"/>
      <c r="G188" s="41"/>
      <c r="H188" s="56"/>
      <c r="I188" s="43">
        <v>1.7</v>
      </c>
      <c r="J188" s="43">
        <v>1.6</v>
      </c>
      <c r="K188" s="24">
        <f t="shared" si="26"/>
        <v>2.72</v>
      </c>
      <c r="L188" s="43"/>
      <c r="M188" s="43"/>
      <c r="N188" s="24">
        <f t="shared" si="27"/>
        <v>0</v>
      </c>
      <c r="O188" s="51">
        <f t="shared" si="28"/>
        <v>0</v>
      </c>
    </row>
    <row r="189" spans="3:15" s="48" customFormat="1" ht="15.75" thickBot="1" x14ac:dyDescent="0.3">
      <c r="C189" s="366"/>
      <c r="D189" s="35"/>
      <c r="E189" s="35"/>
      <c r="F189" s="35"/>
      <c r="G189" s="33"/>
      <c r="H189" s="57"/>
      <c r="I189" s="35">
        <v>1.7</v>
      </c>
      <c r="J189" s="35">
        <v>1.6</v>
      </c>
      <c r="K189" s="54">
        <f t="shared" si="26"/>
        <v>2.72</v>
      </c>
      <c r="L189" s="35"/>
      <c r="M189" s="35"/>
      <c r="N189" s="54">
        <f t="shared" si="27"/>
        <v>0</v>
      </c>
      <c r="O189" s="61">
        <f t="shared" si="28"/>
        <v>0</v>
      </c>
    </row>
    <row r="191" spans="3:15" x14ac:dyDescent="0.25">
      <c r="C191" s="11" t="s">
        <v>25</v>
      </c>
      <c r="G191" s="12">
        <f>SUM(G129:G189)</f>
        <v>305.83999999999997</v>
      </c>
      <c r="H191" s="12">
        <f>SUM(H129:H189)</f>
        <v>761.7016000000001</v>
      </c>
      <c r="I191" s="12">
        <f>SUM(I129:I189)</f>
        <v>29.080000000000005</v>
      </c>
      <c r="J191" s="12"/>
      <c r="K191" s="12">
        <f>K129+K135+K137+K139+K142+K146+K149+K152+K155+K158+K160+K164+K167+K169+K171+K174+K181</f>
        <v>46.298400000000001</v>
      </c>
      <c r="L191" s="12"/>
      <c r="M191" s="12"/>
      <c r="N191" s="12"/>
      <c r="O191" s="12">
        <f>O129+O135+O137+O139+O142+O146+O149+O152+O155+O158+O160+O164+O167+O169+O171+O174+O181</f>
        <v>28.45</v>
      </c>
    </row>
    <row r="193" spans="7:8" x14ac:dyDescent="0.25">
      <c r="G193" s="101">
        <f>G191+G49+G127</f>
        <v>1152.8379999999997</v>
      </c>
      <c r="H193" s="101">
        <f>H191+H49+H127</f>
        <v>2715.0601999999999</v>
      </c>
    </row>
  </sheetData>
  <mergeCells count="50">
    <mergeCell ref="C109:C112"/>
    <mergeCell ref="C164:C166"/>
    <mergeCell ref="C167:C168"/>
    <mergeCell ref="C169:C170"/>
    <mergeCell ref="C171:C173"/>
    <mergeCell ref="C129:C134"/>
    <mergeCell ref="C135:C136"/>
    <mergeCell ref="C137:C138"/>
    <mergeCell ref="C139:C141"/>
    <mergeCell ref="C142:C145"/>
    <mergeCell ref="C146:C148"/>
    <mergeCell ref="C113:C114"/>
    <mergeCell ref="C115:C117"/>
    <mergeCell ref="C118:C119"/>
    <mergeCell ref="C120:C125"/>
    <mergeCell ref="C181:C189"/>
    <mergeCell ref="C149:C151"/>
    <mergeCell ref="C152:C154"/>
    <mergeCell ref="C155:C156"/>
    <mergeCell ref="C158:C159"/>
    <mergeCell ref="C160:C163"/>
    <mergeCell ref="C174:C180"/>
    <mergeCell ref="C27:C35"/>
    <mergeCell ref="C36:C38"/>
    <mergeCell ref="C39:C41"/>
    <mergeCell ref="C42:C44"/>
    <mergeCell ref="C104:C108"/>
    <mergeCell ref="C45:C47"/>
    <mergeCell ref="C82:C85"/>
    <mergeCell ref="C86:C87"/>
    <mergeCell ref="C88:C90"/>
    <mergeCell ref="C64:C70"/>
    <mergeCell ref="C71:C72"/>
    <mergeCell ref="C73:C74"/>
    <mergeCell ref="C75:C77"/>
    <mergeCell ref="C78:C81"/>
    <mergeCell ref="C91:C93"/>
    <mergeCell ref="C94:C97"/>
    <mergeCell ref="C98:C101"/>
    <mergeCell ref="C102:C103"/>
    <mergeCell ref="C51:C54"/>
    <mergeCell ref="C55:C57"/>
    <mergeCell ref="C58:C60"/>
    <mergeCell ref="C61:C63"/>
    <mergeCell ref="C6:C7"/>
    <mergeCell ref="C14:C16"/>
    <mergeCell ref="C17:C18"/>
    <mergeCell ref="C19:C22"/>
    <mergeCell ref="C23:C26"/>
    <mergeCell ref="C8:C13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57"/>
  <sheetViews>
    <sheetView tabSelected="1" zoomScale="70" zoomScaleNormal="70" workbookViewId="0">
      <selection activeCell="S23" sqref="S23"/>
    </sheetView>
  </sheetViews>
  <sheetFormatPr defaultRowHeight="12.75" x14ac:dyDescent="0.2"/>
  <cols>
    <col min="1" max="1" width="4.7109375" style="316" customWidth="1"/>
    <col min="2" max="2" width="5.140625" style="317" customWidth="1"/>
    <col min="3" max="3" width="9.140625" style="316" customWidth="1"/>
    <col min="4" max="5" width="8.85546875" style="316"/>
    <col min="6" max="6" width="15.7109375" style="316" customWidth="1"/>
    <col min="7" max="7" width="10.7109375" style="317" customWidth="1"/>
    <col min="8" max="8" width="12.28515625" style="315" customWidth="1"/>
    <col min="9" max="9" width="12.5703125" style="315" customWidth="1"/>
    <col min="10" max="11" width="15.5703125" style="315" bestFit="1" customWidth="1"/>
    <col min="12" max="12" width="8.85546875" style="316"/>
    <col min="13" max="13" width="17.7109375" style="316" customWidth="1"/>
    <col min="14" max="14" width="15.7109375" style="316" customWidth="1"/>
    <col min="15" max="15" width="12.42578125" style="316" bestFit="1" customWidth="1"/>
    <col min="16" max="255" width="8.85546875" style="316"/>
    <col min="256" max="256" width="4.7109375" style="316" customWidth="1"/>
    <col min="257" max="257" width="5.140625" style="316" customWidth="1"/>
    <col min="258" max="258" width="16.140625" style="316" customWidth="1"/>
    <col min="259" max="259" width="9.140625" style="316" customWidth="1"/>
    <col min="260" max="261" width="8.85546875" style="316"/>
    <col min="262" max="262" width="15.7109375" style="316" customWidth="1"/>
    <col min="263" max="263" width="10.7109375" style="316" customWidth="1"/>
    <col min="264" max="264" width="12.28515625" style="316" customWidth="1"/>
    <col min="265" max="265" width="12.5703125" style="316" customWidth="1"/>
    <col min="266" max="266" width="12.42578125" style="316" customWidth="1"/>
    <col min="267" max="267" width="12" style="316" customWidth="1"/>
    <col min="268" max="268" width="8.85546875" style="316"/>
    <col min="269" max="269" width="11.7109375" style="316" bestFit="1" customWidth="1"/>
    <col min="270" max="270" width="8.85546875" style="316"/>
    <col min="271" max="271" width="11.7109375" style="316" bestFit="1" customWidth="1"/>
    <col min="272" max="511" width="8.85546875" style="316"/>
    <col min="512" max="512" width="4.7109375" style="316" customWidth="1"/>
    <col min="513" max="513" width="5.140625" style="316" customWidth="1"/>
    <col min="514" max="514" width="16.140625" style="316" customWidth="1"/>
    <col min="515" max="515" width="9.140625" style="316" customWidth="1"/>
    <col min="516" max="517" width="8.85546875" style="316"/>
    <col min="518" max="518" width="15.7109375" style="316" customWidth="1"/>
    <col min="519" max="519" width="10.7109375" style="316" customWidth="1"/>
    <col min="520" max="520" width="12.28515625" style="316" customWidth="1"/>
    <col min="521" max="521" width="12.5703125" style="316" customWidth="1"/>
    <col min="522" max="522" width="12.42578125" style="316" customWidth="1"/>
    <col min="523" max="523" width="12" style="316" customWidth="1"/>
    <col min="524" max="524" width="8.85546875" style="316"/>
    <col min="525" max="525" width="11.7109375" style="316" bestFit="1" customWidth="1"/>
    <col min="526" max="526" width="8.85546875" style="316"/>
    <col min="527" max="527" width="11.7109375" style="316" bestFit="1" customWidth="1"/>
    <col min="528" max="767" width="8.85546875" style="316"/>
    <col min="768" max="768" width="4.7109375" style="316" customWidth="1"/>
    <col min="769" max="769" width="5.140625" style="316" customWidth="1"/>
    <col min="770" max="770" width="16.140625" style="316" customWidth="1"/>
    <col min="771" max="771" width="9.140625" style="316" customWidth="1"/>
    <col min="772" max="773" width="8.85546875" style="316"/>
    <col min="774" max="774" width="15.7109375" style="316" customWidth="1"/>
    <col min="775" max="775" width="10.7109375" style="316" customWidth="1"/>
    <col min="776" max="776" width="12.28515625" style="316" customWidth="1"/>
    <col min="777" max="777" width="12.5703125" style="316" customWidth="1"/>
    <col min="778" max="778" width="12.42578125" style="316" customWidth="1"/>
    <col min="779" max="779" width="12" style="316" customWidth="1"/>
    <col min="780" max="780" width="8.85546875" style="316"/>
    <col min="781" max="781" width="11.7109375" style="316" bestFit="1" customWidth="1"/>
    <col min="782" max="782" width="8.85546875" style="316"/>
    <col min="783" max="783" width="11.7109375" style="316" bestFit="1" customWidth="1"/>
    <col min="784" max="1023" width="8.85546875" style="316"/>
    <col min="1024" max="1024" width="4.7109375" style="316" customWidth="1"/>
    <col min="1025" max="1025" width="5.140625" style="316" customWidth="1"/>
    <col min="1026" max="1026" width="16.140625" style="316" customWidth="1"/>
    <col min="1027" max="1027" width="9.140625" style="316" customWidth="1"/>
    <col min="1028" max="1029" width="8.85546875" style="316"/>
    <col min="1030" max="1030" width="15.7109375" style="316" customWidth="1"/>
    <col min="1031" max="1031" width="10.7109375" style="316" customWidth="1"/>
    <col min="1032" max="1032" width="12.28515625" style="316" customWidth="1"/>
    <col min="1033" max="1033" width="12.5703125" style="316" customWidth="1"/>
    <col min="1034" max="1034" width="12.42578125" style="316" customWidth="1"/>
    <col min="1035" max="1035" width="12" style="316" customWidth="1"/>
    <col min="1036" max="1036" width="8.85546875" style="316"/>
    <col min="1037" max="1037" width="11.7109375" style="316" bestFit="1" customWidth="1"/>
    <col min="1038" max="1038" width="8.85546875" style="316"/>
    <col min="1039" max="1039" width="11.7109375" style="316" bestFit="1" customWidth="1"/>
    <col min="1040" max="1279" width="8.85546875" style="316"/>
    <col min="1280" max="1280" width="4.7109375" style="316" customWidth="1"/>
    <col min="1281" max="1281" width="5.140625" style="316" customWidth="1"/>
    <col min="1282" max="1282" width="16.140625" style="316" customWidth="1"/>
    <col min="1283" max="1283" width="9.140625" style="316" customWidth="1"/>
    <col min="1284" max="1285" width="8.85546875" style="316"/>
    <col min="1286" max="1286" width="15.7109375" style="316" customWidth="1"/>
    <col min="1287" max="1287" width="10.7109375" style="316" customWidth="1"/>
    <col min="1288" max="1288" width="12.28515625" style="316" customWidth="1"/>
    <col min="1289" max="1289" width="12.5703125" style="316" customWidth="1"/>
    <col min="1290" max="1290" width="12.42578125" style="316" customWidth="1"/>
    <col min="1291" max="1291" width="12" style="316" customWidth="1"/>
    <col min="1292" max="1292" width="8.85546875" style="316"/>
    <col min="1293" max="1293" width="11.7109375" style="316" bestFit="1" customWidth="1"/>
    <col min="1294" max="1294" width="8.85546875" style="316"/>
    <col min="1295" max="1295" width="11.7109375" style="316" bestFit="1" customWidth="1"/>
    <col min="1296" max="1535" width="8.85546875" style="316"/>
    <col min="1536" max="1536" width="4.7109375" style="316" customWidth="1"/>
    <col min="1537" max="1537" width="5.140625" style="316" customWidth="1"/>
    <col min="1538" max="1538" width="16.140625" style="316" customWidth="1"/>
    <col min="1539" max="1539" width="9.140625" style="316" customWidth="1"/>
    <col min="1540" max="1541" width="8.85546875" style="316"/>
    <col min="1542" max="1542" width="15.7109375" style="316" customWidth="1"/>
    <col min="1543" max="1543" width="10.7109375" style="316" customWidth="1"/>
    <col min="1544" max="1544" width="12.28515625" style="316" customWidth="1"/>
    <col min="1545" max="1545" width="12.5703125" style="316" customWidth="1"/>
    <col min="1546" max="1546" width="12.42578125" style="316" customWidth="1"/>
    <col min="1547" max="1547" width="12" style="316" customWidth="1"/>
    <col min="1548" max="1548" width="8.85546875" style="316"/>
    <col min="1549" max="1549" width="11.7109375" style="316" bestFit="1" customWidth="1"/>
    <col min="1550" max="1550" width="8.85546875" style="316"/>
    <col min="1551" max="1551" width="11.7109375" style="316" bestFit="1" customWidth="1"/>
    <col min="1552" max="1791" width="8.85546875" style="316"/>
    <col min="1792" max="1792" width="4.7109375" style="316" customWidth="1"/>
    <col min="1793" max="1793" width="5.140625" style="316" customWidth="1"/>
    <col min="1794" max="1794" width="16.140625" style="316" customWidth="1"/>
    <col min="1795" max="1795" width="9.140625" style="316" customWidth="1"/>
    <col min="1796" max="1797" width="8.85546875" style="316"/>
    <col min="1798" max="1798" width="15.7109375" style="316" customWidth="1"/>
    <col min="1799" max="1799" width="10.7109375" style="316" customWidth="1"/>
    <col min="1800" max="1800" width="12.28515625" style="316" customWidth="1"/>
    <col min="1801" max="1801" width="12.5703125" style="316" customWidth="1"/>
    <col min="1802" max="1802" width="12.42578125" style="316" customWidth="1"/>
    <col min="1803" max="1803" width="12" style="316" customWidth="1"/>
    <col min="1804" max="1804" width="8.85546875" style="316"/>
    <col min="1805" max="1805" width="11.7109375" style="316" bestFit="1" customWidth="1"/>
    <col min="1806" max="1806" width="8.85546875" style="316"/>
    <col min="1807" max="1807" width="11.7109375" style="316" bestFit="1" customWidth="1"/>
    <col min="1808" max="2047" width="8.85546875" style="316"/>
    <col min="2048" max="2048" width="4.7109375" style="316" customWidth="1"/>
    <col min="2049" max="2049" width="5.140625" style="316" customWidth="1"/>
    <col min="2050" max="2050" width="16.140625" style="316" customWidth="1"/>
    <col min="2051" max="2051" width="9.140625" style="316" customWidth="1"/>
    <col min="2052" max="2053" width="8.85546875" style="316"/>
    <col min="2054" max="2054" width="15.7109375" style="316" customWidth="1"/>
    <col min="2055" max="2055" width="10.7109375" style="316" customWidth="1"/>
    <col min="2056" max="2056" width="12.28515625" style="316" customWidth="1"/>
    <col min="2057" max="2057" width="12.5703125" style="316" customWidth="1"/>
    <col min="2058" max="2058" width="12.42578125" style="316" customWidth="1"/>
    <col min="2059" max="2059" width="12" style="316" customWidth="1"/>
    <col min="2060" max="2060" width="8.85546875" style="316"/>
    <col min="2061" max="2061" width="11.7109375" style="316" bestFit="1" customWidth="1"/>
    <col min="2062" max="2062" width="8.85546875" style="316"/>
    <col min="2063" max="2063" width="11.7109375" style="316" bestFit="1" customWidth="1"/>
    <col min="2064" max="2303" width="8.85546875" style="316"/>
    <col min="2304" max="2304" width="4.7109375" style="316" customWidth="1"/>
    <col min="2305" max="2305" width="5.140625" style="316" customWidth="1"/>
    <col min="2306" max="2306" width="16.140625" style="316" customWidth="1"/>
    <col min="2307" max="2307" width="9.140625" style="316" customWidth="1"/>
    <col min="2308" max="2309" width="8.85546875" style="316"/>
    <col min="2310" max="2310" width="15.7109375" style="316" customWidth="1"/>
    <col min="2311" max="2311" width="10.7109375" style="316" customWidth="1"/>
    <col min="2312" max="2312" width="12.28515625" style="316" customWidth="1"/>
    <col min="2313" max="2313" width="12.5703125" style="316" customWidth="1"/>
    <col min="2314" max="2314" width="12.42578125" style="316" customWidth="1"/>
    <col min="2315" max="2315" width="12" style="316" customWidth="1"/>
    <col min="2316" max="2316" width="8.85546875" style="316"/>
    <col min="2317" max="2317" width="11.7109375" style="316" bestFit="1" customWidth="1"/>
    <col min="2318" max="2318" width="8.85546875" style="316"/>
    <col min="2319" max="2319" width="11.7109375" style="316" bestFit="1" customWidth="1"/>
    <col min="2320" max="2559" width="8.85546875" style="316"/>
    <col min="2560" max="2560" width="4.7109375" style="316" customWidth="1"/>
    <col min="2561" max="2561" width="5.140625" style="316" customWidth="1"/>
    <col min="2562" max="2562" width="16.140625" style="316" customWidth="1"/>
    <col min="2563" max="2563" width="9.140625" style="316" customWidth="1"/>
    <col min="2564" max="2565" width="8.85546875" style="316"/>
    <col min="2566" max="2566" width="15.7109375" style="316" customWidth="1"/>
    <col min="2567" max="2567" width="10.7109375" style="316" customWidth="1"/>
    <col min="2568" max="2568" width="12.28515625" style="316" customWidth="1"/>
    <col min="2569" max="2569" width="12.5703125" style="316" customWidth="1"/>
    <col min="2570" max="2570" width="12.42578125" style="316" customWidth="1"/>
    <col min="2571" max="2571" width="12" style="316" customWidth="1"/>
    <col min="2572" max="2572" width="8.85546875" style="316"/>
    <col min="2573" max="2573" width="11.7109375" style="316" bestFit="1" customWidth="1"/>
    <col min="2574" max="2574" width="8.85546875" style="316"/>
    <col min="2575" max="2575" width="11.7109375" style="316" bestFit="1" customWidth="1"/>
    <col min="2576" max="2815" width="8.85546875" style="316"/>
    <col min="2816" max="2816" width="4.7109375" style="316" customWidth="1"/>
    <col min="2817" max="2817" width="5.140625" style="316" customWidth="1"/>
    <col min="2818" max="2818" width="16.140625" style="316" customWidth="1"/>
    <col min="2819" max="2819" width="9.140625" style="316" customWidth="1"/>
    <col min="2820" max="2821" width="8.85546875" style="316"/>
    <col min="2822" max="2822" width="15.7109375" style="316" customWidth="1"/>
    <col min="2823" max="2823" width="10.7109375" style="316" customWidth="1"/>
    <col min="2824" max="2824" width="12.28515625" style="316" customWidth="1"/>
    <col min="2825" max="2825" width="12.5703125" style="316" customWidth="1"/>
    <col min="2826" max="2826" width="12.42578125" style="316" customWidth="1"/>
    <col min="2827" max="2827" width="12" style="316" customWidth="1"/>
    <col min="2828" max="2828" width="8.85546875" style="316"/>
    <col min="2829" max="2829" width="11.7109375" style="316" bestFit="1" customWidth="1"/>
    <col min="2830" max="2830" width="8.85546875" style="316"/>
    <col min="2831" max="2831" width="11.7109375" style="316" bestFit="1" customWidth="1"/>
    <col min="2832" max="3071" width="8.85546875" style="316"/>
    <col min="3072" max="3072" width="4.7109375" style="316" customWidth="1"/>
    <col min="3073" max="3073" width="5.140625" style="316" customWidth="1"/>
    <col min="3074" max="3074" width="16.140625" style="316" customWidth="1"/>
    <col min="3075" max="3075" width="9.140625" style="316" customWidth="1"/>
    <col min="3076" max="3077" width="8.85546875" style="316"/>
    <col min="3078" max="3078" width="15.7109375" style="316" customWidth="1"/>
    <col min="3079" max="3079" width="10.7109375" style="316" customWidth="1"/>
    <col min="3080" max="3080" width="12.28515625" style="316" customWidth="1"/>
    <col min="3081" max="3081" width="12.5703125" style="316" customWidth="1"/>
    <col min="3082" max="3082" width="12.42578125" style="316" customWidth="1"/>
    <col min="3083" max="3083" width="12" style="316" customWidth="1"/>
    <col min="3084" max="3084" width="8.85546875" style="316"/>
    <col min="3085" max="3085" width="11.7109375" style="316" bestFit="1" customWidth="1"/>
    <col min="3086" max="3086" width="8.85546875" style="316"/>
    <col min="3087" max="3087" width="11.7109375" style="316" bestFit="1" customWidth="1"/>
    <col min="3088" max="3327" width="8.85546875" style="316"/>
    <col min="3328" max="3328" width="4.7109375" style="316" customWidth="1"/>
    <col min="3329" max="3329" width="5.140625" style="316" customWidth="1"/>
    <col min="3330" max="3330" width="16.140625" style="316" customWidth="1"/>
    <col min="3331" max="3331" width="9.140625" style="316" customWidth="1"/>
    <col min="3332" max="3333" width="8.85546875" style="316"/>
    <col min="3334" max="3334" width="15.7109375" style="316" customWidth="1"/>
    <col min="3335" max="3335" width="10.7109375" style="316" customWidth="1"/>
    <col min="3336" max="3336" width="12.28515625" style="316" customWidth="1"/>
    <col min="3337" max="3337" width="12.5703125" style="316" customWidth="1"/>
    <col min="3338" max="3338" width="12.42578125" style="316" customWidth="1"/>
    <col min="3339" max="3339" width="12" style="316" customWidth="1"/>
    <col min="3340" max="3340" width="8.85546875" style="316"/>
    <col min="3341" max="3341" width="11.7109375" style="316" bestFit="1" customWidth="1"/>
    <col min="3342" max="3342" width="8.85546875" style="316"/>
    <col min="3343" max="3343" width="11.7109375" style="316" bestFit="1" customWidth="1"/>
    <col min="3344" max="3583" width="8.85546875" style="316"/>
    <col min="3584" max="3584" width="4.7109375" style="316" customWidth="1"/>
    <col min="3585" max="3585" width="5.140625" style="316" customWidth="1"/>
    <col min="3586" max="3586" width="16.140625" style="316" customWidth="1"/>
    <col min="3587" max="3587" width="9.140625" style="316" customWidth="1"/>
    <col min="3588" max="3589" width="8.85546875" style="316"/>
    <col min="3590" max="3590" width="15.7109375" style="316" customWidth="1"/>
    <col min="3591" max="3591" width="10.7109375" style="316" customWidth="1"/>
    <col min="3592" max="3592" width="12.28515625" style="316" customWidth="1"/>
    <col min="3593" max="3593" width="12.5703125" style="316" customWidth="1"/>
    <col min="3594" max="3594" width="12.42578125" style="316" customWidth="1"/>
    <col min="3595" max="3595" width="12" style="316" customWidth="1"/>
    <col min="3596" max="3596" width="8.85546875" style="316"/>
    <col min="3597" max="3597" width="11.7109375" style="316" bestFit="1" customWidth="1"/>
    <col min="3598" max="3598" width="8.85546875" style="316"/>
    <col min="3599" max="3599" width="11.7109375" style="316" bestFit="1" customWidth="1"/>
    <col min="3600" max="3839" width="8.85546875" style="316"/>
    <col min="3840" max="3840" width="4.7109375" style="316" customWidth="1"/>
    <col min="3841" max="3841" width="5.140625" style="316" customWidth="1"/>
    <col min="3842" max="3842" width="16.140625" style="316" customWidth="1"/>
    <col min="3843" max="3843" width="9.140625" style="316" customWidth="1"/>
    <col min="3844" max="3845" width="8.85546875" style="316"/>
    <col min="3846" max="3846" width="15.7109375" style="316" customWidth="1"/>
    <col min="3847" max="3847" width="10.7109375" style="316" customWidth="1"/>
    <col min="3848" max="3848" width="12.28515625" style="316" customWidth="1"/>
    <col min="3849" max="3849" width="12.5703125" style="316" customWidth="1"/>
    <col min="3850" max="3850" width="12.42578125" style="316" customWidth="1"/>
    <col min="3851" max="3851" width="12" style="316" customWidth="1"/>
    <col min="3852" max="3852" width="8.85546875" style="316"/>
    <col min="3853" max="3853" width="11.7109375" style="316" bestFit="1" customWidth="1"/>
    <col min="3854" max="3854" width="8.85546875" style="316"/>
    <col min="3855" max="3855" width="11.7109375" style="316" bestFit="1" customWidth="1"/>
    <col min="3856" max="4095" width="8.85546875" style="316"/>
    <col min="4096" max="4096" width="4.7109375" style="316" customWidth="1"/>
    <col min="4097" max="4097" width="5.140625" style="316" customWidth="1"/>
    <col min="4098" max="4098" width="16.140625" style="316" customWidth="1"/>
    <col min="4099" max="4099" width="9.140625" style="316" customWidth="1"/>
    <col min="4100" max="4101" width="8.85546875" style="316"/>
    <col min="4102" max="4102" width="15.7109375" style="316" customWidth="1"/>
    <col min="4103" max="4103" width="10.7109375" style="316" customWidth="1"/>
    <col min="4104" max="4104" width="12.28515625" style="316" customWidth="1"/>
    <col min="4105" max="4105" width="12.5703125" style="316" customWidth="1"/>
    <col min="4106" max="4106" width="12.42578125" style="316" customWidth="1"/>
    <col min="4107" max="4107" width="12" style="316" customWidth="1"/>
    <col min="4108" max="4108" width="8.85546875" style="316"/>
    <col min="4109" max="4109" width="11.7109375" style="316" bestFit="1" customWidth="1"/>
    <col min="4110" max="4110" width="8.85546875" style="316"/>
    <col min="4111" max="4111" width="11.7109375" style="316" bestFit="1" customWidth="1"/>
    <col min="4112" max="4351" width="8.85546875" style="316"/>
    <col min="4352" max="4352" width="4.7109375" style="316" customWidth="1"/>
    <col min="4353" max="4353" width="5.140625" style="316" customWidth="1"/>
    <col min="4354" max="4354" width="16.140625" style="316" customWidth="1"/>
    <col min="4355" max="4355" width="9.140625" style="316" customWidth="1"/>
    <col min="4356" max="4357" width="8.85546875" style="316"/>
    <col min="4358" max="4358" width="15.7109375" style="316" customWidth="1"/>
    <col min="4359" max="4359" width="10.7109375" style="316" customWidth="1"/>
    <col min="4360" max="4360" width="12.28515625" style="316" customWidth="1"/>
    <col min="4361" max="4361" width="12.5703125" style="316" customWidth="1"/>
    <col min="4362" max="4362" width="12.42578125" style="316" customWidth="1"/>
    <col min="4363" max="4363" width="12" style="316" customWidth="1"/>
    <col min="4364" max="4364" width="8.85546875" style="316"/>
    <col min="4365" max="4365" width="11.7109375" style="316" bestFit="1" customWidth="1"/>
    <col min="4366" max="4366" width="8.85546875" style="316"/>
    <col min="4367" max="4367" width="11.7109375" style="316" bestFit="1" customWidth="1"/>
    <col min="4368" max="4607" width="8.85546875" style="316"/>
    <col min="4608" max="4608" width="4.7109375" style="316" customWidth="1"/>
    <col min="4609" max="4609" width="5.140625" style="316" customWidth="1"/>
    <col min="4610" max="4610" width="16.140625" style="316" customWidth="1"/>
    <col min="4611" max="4611" width="9.140625" style="316" customWidth="1"/>
    <col min="4612" max="4613" width="8.85546875" style="316"/>
    <col min="4614" max="4614" width="15.7109375" style="316" customWidth="1"/>
    <col min="4615" max="4615" width="10.7109375" style="316" customWidth="1"/>
    <col min="4616" max="4616" width="12.28515625" style="316" customWidth="1"/>
    <col min="4617" max="4617" width="12.5703125" style="316" customWidth="1"/>
    <col min="4618" max="4618" width="12.42578125" style="316" customWidth="1"/>
    <col min="4619" max="4619" width="12" style="316" customWidth="1"/>
    <col min="4620" max="4620" width="8.85546875" style="316"/>
    <col min="4621" max="4621" width="11.7109375" style="316" bestFit="1" customWidth="1"/>
    <col min="4622" max="4622" width="8.85546875" style="316"/>
    <col min="4623" max="4623" width="11.7109375" style="316" bestFit="1" customWidth="1"/>
    <col min="4624" max="4863" width="8.85546875" style="316"/>
    <col min="4864" max="4864" width="4.7109375" style="316" customWidth="1"/>
    <col min="4865" max="4865" width="5.140625" style="316" customWidth="1"/>
    <col min="4866" max="4866" width="16.140625" style="316" customWidth="1"/>
    <col min="4867" max="4867" width="9.140625" style="316" customWidth="1"/>
    <col min="4868" max="4869" width="8.85546875" style="316"/>
    <col min="4870" max="4870" width="15.7109375" style="316" customWidth="1"/>
    <col min="4871" max="4871" width="10.7109375" style="316" customWidth="1"/>
    <col min="4872" max="4872" width="12.28515625" style="316" customWidth="1"/>
    <col min="4873" max="4873" width="12.5703125" style="316" customWidth="1"/>
    <col min="4874" max="4874" width="12.42578125" style="316" customWidth="1"/>
    <col min="4875" max="4875" width="12" style="316" customWidth="1"/>
    <col min="4876" max="4876" width="8.85546875" style="316"/>
    <col min="4877" max="4877" width="11.7109375" style="316" bestFit="1" customWidth="1"/>
    <col min="4878" max="4878" width="8.85546875" style="316"/>
    <col min="4879" max="4879" width="11.7109375" style="316" bestFit="1" customWidth="1"/>
    <col min="4880" max="5119" width="8.85546875" style="316"/>
    <col min="5120" max="5120" width="4.7109375" style="316" customWidth="1"/>
    <col min="5121" max="5121" width="5.140625" style="316" customWidth="1"/>
    <col min="5122" max="5122" width="16.140625" style="316" customWidth="1"/>
    <col min="5123" max="5123" width="9.140625" style="316" customWidth="1"/>
    <col min="5124" max="5125" width="8.85546875" style="316"/>
    <col min="5126" max="5126" width="15.7109375" style="316" customWidth="1"/>
    <col min="5127" max="5127" width="10.7109375" style="316" customWidth="1"/>
    <col min="5128" max="5128" width="12.28515625" style="316" customWidth="1"/>
    <col min="5129" max="5129" width="12.5703125" style="316" customWidth="1"/>
    <col min="5130" max="5130" width="12.42578125" style="316" customWidth="1"/>
    <col min="5131" max="5131" width="12" style="316" customWidth="1"/>
    <col min="5132" max="5132" width="8.85546875" style="316"/>
    <col min="5133" max="5133" width="11.7109375" style="316" bestFit="1" customWidth="1"/>
    <col min="5134" max="5134" width="8.85546875" style="316"/>
    <col min="5135" max="5135" width="11.7109375" style="316" bestFit="1" customWidth="1"/>
    <col min="5136" max="5375" width="8.85546875" style="316"/>
    <col min="5376" max="5376" width="4.7109375" style="316" customWidth="1"/>
    <col min="5377" max="5377" width="5.140625" style="316" customWidth="1"/>
    <col min="5378" max="5378" width="16.140625" style="316" customWidth="1"/>
    <col min="5379" max="5379" width="9.140625" style="316" customWidth="1"/>
    <col min="5380" max="5381" width="8.85546875" style="316"/>
    <col min="5382" max="5382" width="15.7109375" style="316" customWidth="1"/>
    <col min="5383" max="5383" width="10.7109375" style="316" customWidth="1"/>
    <col min="5384" max="5384" width="12.28515625" style="316" customWidth="1"/>
    <col min="5385" max="5385" width="12.5703125" style="316" customWidth="1"/>
    <col min="5386" max="5386" width="12.42578125" style="316" customWidth="1"/>
    <col min="5387" max="5387" width="12" style="316" customWidth="1"/>
    <col min="5388" max="5388" width="8.85546875" style="316"/>
    <col min="5389" max="5389" width="11.7109375" style="316" bestFit="1" customWidth="1"/>
    <col min="5390" max="5390" width="8.85546875" style="316"/>
    <col min="5391" max="5391" width="11.7109375" style="316" bestFit="1" customWidth="1"/>
    <col min="5392" max="5631" width="8.85546875" style="316"/>
    <col min="5632" max="5632" width="4.7109375" style="316" customWidth="1"/>
    <col min="5633" max="5633" width="5.140625" style="316" customWidth="1"/>
    <col min="5634" max="5634" width="16.140625" style="316" customWidth="1"/>
    <col min="5635" max="5635" width="9.140625" style="316" customWidth="1"/>
    <col min="5636" max="5637" width="8.85546875" style="316"/>
    <col min="5638" max="5638" width="15.7109375" style="316" customWidth="1"/>
    <col min="5639" max="5639" width="10.7109375" style="316" customWidth="1"/>
    <col min="5640" max="5640" width="12.28515625" style="316" customWidth="1"/>
    <col min="5641" max="5641" width="12.5703125" style="316" customWidth="1"/>
    <col min="5642" max="5642" width="12.42578125" style="316" customWidth="1"/>
    <col min="5643" max="5643" width="12" style="316" customWidth="1"/>
    <col min="5644" max="5644" width="8.85546875" style="316"/>
    <col min="5645" max="5645" width="11.7109375" style="316" bestFit="1" customWidth="1"/>
    <col min="5646" max="5646" width="8.85546875" style="316"/>
    <col min="5647" max="5647" width="11.7109375" style="316" bestFit="1" customWidth="1"/>
    <col min="5648" max="5887" width="8.85546875" style="316"/>
    <col min="5888" max="5888" width="4.7109375" style="316" customWidth="1"/>
    <col min="5889" max="5889" width="5.140625" style="316" customWidth="1"/>
    <col min="5890" max="5890" width="16.140625" style="316" customWidth="1"/>
    <col min="5891" max="5891" width="9.140625" style="316" customWidth="1"/>
    <col min="5892" max="5893" width="8.85546875" style="316"/>
    <col min="5894" max="5894" width="15.7109375" style="316" customWidth="1"/>
    <col min="5895" max="5895" width="10.7109375" style="316" customWidth="1"/>
    <col min="5896" max="5896" width="12.28515625" style="316" customWidth="1"/>
    <col min="5897" max="5897" width="12.5703125" style="316" customWidth="1"/>
    <col min="5898" max="5898" width="12.42578125" style="316" customWidth="1"/>
    <col min="5899" max="5899" width="12" style="316" customWidth="1"/>
    <col min="5900" max="5900" width="8.85546875" style="316"/>
    <col min="5901" max="5901" width="11.7109375" style="316" bestFit="1" customWidth="1"/>
    <col min="5902" max="5902" width="8.85546875" style="316"/>
    <col min="5903" max="5903" width="11.7109375" style="316" bestFit="1" customWidth="1"/>
    <col min="5904" max="6143" width="8.85546875" style="316"/>
    <col min="6144" max="6144" width="4.7109375" style="316" customWidth="1"/>
    <col min="6145" max="6145" width="5.140625" style="316" customWidth="1"/>
    <col min="6146" max="6146" width="16.140625" style="316" customWidth="1"/>
    <col min="6147" max="6147" width="9.140625" style="316" customWidth="1"/>
    <col min="6148" max="6149" width="8.85546875" style="316"/>
    <col min="6150" max="6150" width="15.7109375" style="316" customWidth="1"/>
    <col min="6151" max="6151" width="10.7109375" style="316" customWidth="1"/>
    <col min="6152" max="6152" width="12.28515625" style="316" customWidth="1"/>
    <col min="6153" max="6153" width="12.5703125" style="316" customWidth="1"/>
    <col min="6154" max="6154" width="12.42578125" style="316" customWidth="1"/>
    <col min="6155" max="6155" width="12" style="316" customWidth="1"/>
    <col min="6156" max="6156" width="8.85546875" style="316"/>
    <col min="6157" max="6157" width="11.7109375" style="316" bestFit="1" customWidth="1"/>
    <col min="6158" max="6158" width="8.85546875" style="316"/>
    <col min="6159" max="6159" width="11.7109375" style="316" bestFit="1" customWidth="1"/>
    <col min="6160" max="6399" width="8.85546875" style="316"/>
    <col min="6400" max="6400" width="4.7109375" style="316" customWidth="1"/>
    <col min="6401" max="6401" width="5.140625" style="316" customWidth="1"/>
    <col min="6402" max="6402" width="16.140625" style="316" customWidth="1"/>
    <col min="6403" max="6403" width="9.140625" style="316" customWidth="1"/>
    <col min="6404" max="6405" width="8.85546875" style="316"/>
    <col min="6406" max="6406" width="15.7109375" style="316" customWidth="1"/>
    <col min="6407" max="6407" width="10.7109375" style="316" customWidth="1"/>
    <col min="6408" max="6408" width="12.28515625" style="316" customWidth="1"/>
    <col min="6409" max="6409" width="12.5703125" style="316" customWidth="1"/>
    <col min="6410" max="6410" width="12.42578125" style="316" customWidth="1"/>
    <col min="6411" max="6411" width="12" style="316" customWidth="1"/>
    <col min="6412" max="6412" width="8.85546875" style="316"/>
    <col min="6413" max="6413" width="11.7109375" style="316" bestFit="1" customWidth="1"/>
    <col min="6414" max="6414" width="8.85546875" style="316"/>
    <col min="6415" max="6415" width="11.7109375" style="316" bestFit="1" customWidth="1"/>
    <col min="6416" max="6655" width="8.85546875" style="316"/>
    <col min="6656" max="6656" width="4.7109375" style="316" customWidth="1"/>
    <col min="6657" max="6657" width="5.140625" style="316" customWidth="1"/>
    <col min="6658" max="6658" width="16.140625" style="316" customWidth="1"/>
    <col min="6659" max="6659" width="9.140625" style="316" customWidth="1"/>
    <col min="6660" max="6661" width="8.85546875" style="316"/>
    <col min="6662" max="6662" width="15.7109375" style="316" customWidth="1"/>
    <col min="6663" max="6663" width="10.7109375" style="316" customWidth="1"/>
    <col min="6664" max="6664" width="12.28515625" style="316" customWidth="1"/>
    <col min="6665" max="6665" width="12.5703125" style="316" customWidth="1"/>
    <col min="6666" max="6666" width="12.42578125" style="316" customWidth="1"/>
    <col min="6667" max="6667" width="12" style="316" customWidth="1"/>
    <col min="6668" max="6668" width="8.85546875" style="316"/>
    <col min="6669" max="6669" width="11.7109375" style="316" bestFit="1" customWidth="1"/>
    <col min="6670" max="6670" width="8.85546875" style="316"/>
    <col min="6671" max="6671" width="11.7109375" style="316" bestFit="1" customWidth="1"/>
    <col min="6672" max="6911" width="8.85546875" style="316"/>
    <col min="6912" max="6912" width="4.7109375" style="316" customWidth="1"/>
    <col min="6913" max="6913" width="5.140625" style="316" customWidth="1"/>
    <col min="6914" max="6914" width="16.140625" style="316" customWidth="1"/>
    <col min="6915" max="6915" width="9.140625" style="316" customWidth="1"/>
    <col min="6916" max="6917" width="8.85546875" style="316"/>
    <col min="6918" max="6918" width="15.7109375" style="316" customWidth="1"/>
    <col min="6919" max="6919" width="10.7109375" style="316" customWidth="1"/>
    <col min="6920" max="6920" width="12.28515625" style="316" customWidth="1"/>
    <col min="6921" max="6921" width="12.5703125" style="316" customWidth="1"/>
    <col min="6922" max="6922" width="12.42578125" style="316" customWidth="1"/>
    <col min="6923" max="6923" width="12" style="316" customWidth="1"/>
    <col min="6924" max="6924" width="8.85546875" style="316"/>
    <col min="6925" max="6925" width="11.7109375" style="316" bestFit="1" customWidth="1"/>
    <col min="6926" max="6926" width="8.85546875" style="316"/>
    <col min="6927" max="6927" width="11.7109375" style="316" bestFit="1" customWidth="1"/>
    <col min="6928" max="7167" width="8.85546875" style="316"/>
    <col min="7168" max="7168" width="4.7109375" style="316" customWidth="1"/>
    <col min="7169" max="7169" width="5.140625" style="316" customWidth="1"/>
    <col min="7170" max="7170" width="16.140625" style="316" customWidth="1"/>
    <col min="7171" max="7171" width="9.140625" style="316" customWidth="1"/>
    <col min="7172" max="7173" width="8.85546875" style="316"/>
    <col min="7174" max="7174" width="15.7109375" style="316" customWidth="1"/>
    <col min="7175" max="7175" width="10.7109375" style="316" customWidth="1"/>
    <col min="7176" max="7176" width="12.28515625" style="316" customWidth="1"/>
    <col min="7177" max="7177" width="12.5703125" style="316" customWidth="1"/>
    <col min="7178" max="7178" width="12.42578125" style="316" customWidth="1"/>
    <col min="7179" max="7179" width="12" style="316" customWidth="1"/>
    <col min="7180" max="7180" width="8.85546875" style="316"/>
    <col min="7181" max="7181" width="11.7109375" style="316" bestFit="1" customWidth="1"/>
    <col min="7182" max="7182" width="8.85546875" style="316"/>
    <col min="7183" max="7183" width="11.7109375" style="316" bestFit="1" customWidth="1"/>
    <col min="7184" max="7423" width="8.85546875" style="316"/>
    <col min="7424" max="7424" width="4.7109375" style="316" customWidth="1"/>
    <col min="7425" max="7425" width="5.140625" style="316" customWidth="1"/>
    <col min="7426" max="7426" width="16.140625" style="316" customWidth="1"/>
    <col min="7427" max="7427" width="9.140625" style="316" customWidth="1"/>
    <col min="7428" max="7429" width="8.85546875" style="316"/>
    <col min="7430" max="7430" width="15.7109375" style="316" customWidth="1"/>
    <col min="7431" max="7431" width="10.7109375" style="316" customWidth="1"/>
    <col min="7432" max="7432" width="12.28515625" style="316" customWidth="1"/>
    <col min="7433" max="7433" width="12.5703125" style="316" customWidth="1"/>
    <col min="7434" max="7434" width="12.42578125" style="316" customWidth="1"/>
    <col min="7435" max="7435" width="12" style="316" customWidth="1"/>
    <col min="7436" max="7436" width="8.85546875" style="316"/>
    <col min="7437" max="7437" width="11.7109375" style="316" bestFit="1" customWidth="1"/>
    <col min="7438" max="7438" width="8.85546875" style="316"/>
    <col min="7439" max="7439" width="11.7109375" style="316" bestFit="1" customWidth="1"/>
    <col min="7440" max="7679" width="8.85546875" style="316"/>
    <col min="7680" max="7680" width="4.7109375" style="316" customWidth="1"/>
    <col min="7681" max="7681" width="5.140625" style="316" customWidth="1"/>
    <col min="7682" max="7682" width="16.140625" style="316" customWidth="1"/>
    <col min="7683" max="7683" width="9.140625" style="316" customWidth="1"/>
    <col min="7684" max="7685" width="8.85546875" style="316"/>
    <col min="7686" max="7686" width="15.7109375" style="316" customWidth="1"/>
    <col min="7687" max="7687" width="10.7109375" style="316" customWidth="1"/>
    <col min="7688" max="7688" width="12.28515625" style="316" customWidth="1"/>
    <col min="7689" max="7689" width="12.5703125" style="316" customWidth="1"/>
    <col min="7690" max="7690" width="12.42578125" style="316" customWidth="1"/>
    <col min="7691" max="7691" width="12" style="316" customWidth="1"/>
    <col min="7692" max="7692" width="8.85546875" style="316"/>
    <col min="7693" max="7693" width="11.7109375" style="316" bestFit="1" customWidth="1"/>
    <col min="7694" max="7694" width="8.85546875" style="316"/>
    <col min="7695" max="7695" width="11.7109375" style="316" bestFit="1" customWidth="1"/>
    <col min="7696" max="7935" width="8.85546875" style="316"/>
    <col min="7936" max="7936" width="4.7109375" style="316" customWidth="1"/>
    <col min="7937" max="7937" width="5.140625" style="316" customWidth="1"/>
    <col min="7938" max="7938" width="16.140625" style="316" customWidth="1"/>
    <col min="7939" max="7939" width="9.140625" style="316" customWidth="1"/>
    <col min="7940" max="7941" width="8.85546875" style="316"/>
    <col min="7942" max="7942" width="15.7109375" style="316" customWidth="1"/>
    <col min="7943" max="7943" width="10.7109375" style="316" customWidth="1"/>
    <col min="7944" max="7944" width="12.28515625" style="316" customWidth="1"/>
    <col min="7945" max="7945" width="12.5703125" style="316" customWidth="1"/>
    <col min="7946" max="7946" width="12.42578125" style="316" customWidth="1"/>
    <col min="7947" max="7947" width="12" style="316" customWidth="1"/>
    <col min="7948" max="7948" width="8.85546875" style="316"/>
    <col min="7949" max="7949" width="11.7109375" style="316" bestFit="1" customWidth="1"/>
    <col min="7950" max="7950" width="8.85546875" style="316"/>
    <col min="7951" max="7951" width="11.7109375" style="316" bestFit="1" customWidth="1"/>
    <col min="7952" max="8191" width="8.85546875" style="316"/>
    <col min="8192" max="8192" width="4.7109375" style="316" customWidth="1"/>
    <col min="8193" max="8193" width="5.140625" style="316" customWidth="1"/>
    <col min="8194" max="8194" width="16.140625" style="316" customWidth="1"/>
    <col min="8195" max="8195" width="9.140625" style="316" customWidth="1"/>
    <col min="8196" max="8197" width="8.85546875" style="316"/>
    <col min="8198" max="8198" width="15.7109375" style="316" customWidth="1"/>
    <col min="8199" max="8199" width="10.7109375" style="316" customWidth="1"/>
    <col min="8200" max="8200" width="12.28515625" style="316" customWidth="1"/>
    <col min="8201" max="8201" width="12.5703125" style="316" customWidth="1"/>
    <col min="8202" max="8202" width="12.42578125" style="316" customWidth="1"/>
    <col min="8203" max="8203" width="12" style="316" customWidth="1"/>
    <col min="8204" max="8204" width="8.85546875" style="316"/>
    <col min="8205" max="8205" width="11.7109375" style="316" bestFit="1" customWidth="1"/>
    <col min="8206" max="8206" width="8.85546875" style="316"/>
    <col min="8207" max="8207" width="11.7109375" style="316" bestFit="1" customWidth="1"/>
    <col min="8208" max="8447" width="8.85546875" style="316"/>
    <col min="8448" max="8448" width="4.7109375" style="316" customWidth="1"/>
    <col min="8449" max="8449" width="5.140625" style="316" customWidth="1"/>
    <col min="8450" max="8450" width="16.140625" style="316" customWidth="1"/>
    <col min="8451" max="8451" width="9.140625" style="316" customWidth="1"/>
    <col min="8452" max="8453" width="8.85546875" style="316"/>
    <col min="8454" max="8454" width="15.7109375" style="316" customWidth="1"/>
    <col min="8455" max="8455" width="10.7109375" style="316" customWidth="1"/>
    <col min="8456" max="8456" width="12.28515625" style="316" customWidth="1"/>
    <col min="8457" max="8457" width="12.5703125" style="316" customWidth="1"/>
    <col min="8458" max="8458" width="12.42578125" style="316" customWidth="1"/>
    <col min="8459" max="8459" width="12" style="316" customWidth="1"/>
    <col min="8460" max="8460" width="8.85546875" style="316"/>
    <col min="8461" max="8461" width="11.7109375" style="316" bestFit="1" customWidth="1"/>
    <col min="8462" max="8462" width="8.85546875" style="316"/>
    <col min="8463" max="8463" width="11.7109375" style="316" bestFit="1" customWidth="1"/>
    <col min="8464" max="8703" width="8.85546875" style="316"/>
    <col min="8704" max="8704" width="4.7109375" style="316" customWidth="1"/>
    <col min="8705" max="8705" width="5.140625" style="316" customWidth="1"/>
    <col min="8706" max="8706" width="16.140625" style="316" customWidth="1"/>
    <col min="8707" max="8707" width="9.140625" style="316" customWidth="1"/>
    <col min="8708" max="8709" width="8.85546875" style="316"/>
    <col min="8710" max="8710" width="15.7109375" style="316" customWidth="1"/>
    <col min="8711" max="8711" width="10.7109375" style="316" customWidth="1"/>
    <col min="8712" max="8712" width="12.28515625" style="316" customWidth="1"/>
    <col min="8713" max="8713" width="12.5703125" style="316" customWidth="1"/>
    <col min="8714" max="8714" width="12.42578125" style="316" customWidth="1"/>
    <col min="8715" max="8715" width="12" style="316" customWidth="1"/>
    <col min="8716" max="8716" width="8.85546875" style="316"/>
    <col min="8717" max="8717" width="11.7109375" style="316" bestFit="1" customWidth="1"/>
    <col min="8718" max="8718" width="8.85546875" style="316"/>
    <col min="8719" max="8719" width="11.7109375" style="316" bestFit="1" customWidth="1"/>
    <col min="8720" max="8959" width="8.85546875" style="316"/>
    <col min="8960" max="8960" width="4.7109375" style="316" customWidth="1"/>
    <col min="8961" max="8961" width="5.140625" style="316" customWidth="1"/>
    <col min="8962" max="8962" width="16.140625" style="316" customWidth="1"/>
    <col min="8963" max="8963" width="9.140625" style="316" customWidth="1"/>
    <col min="8964" max="8965" width="8.85546875" style="316"/>
    <col min="8966" max="8966" width="15.7109375" style="316" customWidth="1"/>
    <col min="8967" max="8967" width="10.7109375" style="316" customWidth="1"/>
    <col min="8968" max="8968" width="12.28515625" style="316" customWidth="1"/>
    <col min="8969" max="8969" width="12.5703125" style="316" customWidth="1"/>
    <col min="8970" max="8970" width="12.42578125" style="316" customWidth="1"/>
    <col min="8971" max="8971" width="12" style="316" customWidth="1"/>
    <col min="8972" max="8972" width="8.85546875" style="316"/>
    <col min="8973" max="8973" width="11.7109375" style="316" bestFit="1" customWidth="1"/>
    <col min="8974" max="8974" width="8.85546875" style="316"/>
    <col min="8975" max="8975" width="11.7109375" style="316" bestFit="1" customWidth="1"/>
    <col min="8976" max="9215" width="8.85546875" style="316"/>
    <col min="9216" max="9216" width="4.7109375" style="316" customWidth="1"/>
    <col min="9217" max="9217" width="5.140625" style="316" customWidth="1"/>
    <col min="9218" max="9218" width="16.140625" style="316" customWidth="1"/>
    <col min="9219" max="9219" width="9.140625" style="316" customWidth="1"/>
    <col min="9220" max="9221" width="8.85546875" style="316"/>
    <col min="9222" max="9222" width="15.7109375" style="316" customWidth="1"/>
    <col min="9223" max="9223" width="10.7109375" style="316" customWidth="1"/>
    <col min="9224" max="9224" width="12.28515625" style="316" customWidth="1"/>
    <col min="9225" max="9225" width="12.5703125" style="316" customWidth="1"/>
    <col min="9226" max="9226" width="12.42578125" style="316" customWidth="1"/>
    <col min="9227" max="9227" width="12" style="316" customWidth="1"/>
    <col min="9228" max="9228" width="8.85546875" style="316"/>
    <col min="9229" max="9229" width="11.7109375" style="316" bestFit="1" customWidth="1"/>
    <col min="9230" max="9230" width="8.85546875" style="316"/>
    <col min="9231" max="9231" width="11.7109375" style="316" bestFit="1" customWidth="1"/>
    <col min="9232" max="9471" width="8.85546875" style="316"/>
    <col min="9472" max="9472" width="4.7109375" style="316" customWidth="1"/>
    <col min="9473" max="9473" width="5.140625" style="316" customWidth="1"/>
    <col min="9474" max="9474" width="16.140625" style="316" customWidth="1"/>
    <col min="9475" max="9475" width="9.140625" style="316" customWidth="1"/>
    <col min="9476" max="9477" width="8.85546875" style="316"/>
    <col min="9478" max="9478" width="15.7109375" style="316" customWidth="1"/>
    <col min="9479" max="9479" width="10.7109375" style="316" customWidth="1"/>
    <col min="9480" max="9480" width="12.28515625" style="316" customWidth="1"/>
    <col min="9481" max="9481" width="12.5703125" style="316" customWidth="1"/>
    <col min="9482" max="9482" width="12.42578125" style="316" customWidth="1"/>
    <col min="9483" max="9483" width="12" style="316" customWidth="1"/>
    <col min="9484" max="9484" width="8.85546875" style="316"/>
    <col min="9485" max="9485" width="11.7109375" style="316" bestFit="1" customWidth="1"/>
    <col min="9486" max="9486" width="8.85546875" style="316"/>
    <col min="9487" max="9487" width="11.7109375" style="316" bestFit="1" customWidth="1"/>
    <col min="9488" max="9727" width="8.85546875" style="316"/>
    <col min="9728" max="9728" width="4.7109375" style="316" customWidth="1"/>
    <col min="9729" max="9729" width="5.140625" style="316" customWidth="1"/>
    <col min="9730" max="9730" width="16.140625" style="316" customWidth="1"/>
    <col min="9731" max="9731" width="9.140625" style="316" customWidth="1"/>
    <col min="9732" max="9733" width="8.85546875" style="316"/>
    <col min="9734" max="9734" width="15.7109375" style="316" customWidth="1"/>
    <col min="9735" max="9735" width="10.7109375" style="316" customWidth="1"/>
    <col min="9736" max="9736" width="12.28515625" style="316" customWidth="1"/>
    <col min="9737" max="9737" width="12.5703125" style="316" customWidth="1"/>
    <col min="9738" max="9738" width="12.42578125" style="316" customWidth="1"/>
    <col min="9739" max="9739" width="12" style="316" customWidth="1"/>
    <col min="9740" max="9740" width="8.85546875" style="316"/>
    <col min="9741" max="9741" width="11.7109375" style="316" bestFit="1" customWidth="1"/>
    <col min="9742" max="9742" width="8.85546875" style="316"/>
    <col min="9743" max="9743" width="11.7109375" style="316" bestFit="1" customWidth="1"/>
    <col min="9744" max="9983" width="8.85546875" style="316"/>
    <col min="9984" max="9984" width="4.7109375" style="316" customWidth="1"/>
    <col min="9985" max="9985" width="5.140625" style="316" customWidth="1"/>
    <col min="9986" max="9986" width="16.140625" style="316" customWidth="1"/>
    <col min="9987" max="9987" width="9.140625" style="316" customWidth="1"/>
    <col min="9988" max="9989" width="8.85546875" style="316"/>
    <col min="9990" max="9990" width="15.7109375" style="316" customWidth="1"/>
    <col min="9991" max="9991" width="10.7109375" style="316" customWidth="1"/>
    <col min="9992" max="9992" width="12.28515625" style="316" customWidth="1"/>
    <col min="9993" max="9993" width="12.5703125" style="316" customWidth="1"/>
    <col min="9994" max="9994" width="12.42578125" style="316" customWidth="1"/>
    <col min="9995" max="9995" width="12" style="316" customWidth="1"/>
    <col min="9996" max="9996" width="8.85546875" style="316"/>
    <col min="9997" max="9997" width="11.7109375" style="316" bestFit="1" customWidth="1"/>
    <col min="9998" max="9998" width="8.85546875" style="316"/>
    <col min="9999" max="9999" width="11.7109375" style="316" bestFit="1" customWidth="1"/>
    <col min="10000" max="10239" width="8.85546875" style="316"/>
    <col min="10240" max="10240" width="4.7109375" style="316" customWidth="1"/>
    <col min="10241" max="10241" width="5.140625" style="316" customWidth="1"/>
    <col min="10242" max="10242" width="16.140625" style="316" customWidth="1"/>
    <col min="10243" max="10243" width="9.140625" style="316" customWidth="1"/>
    <col min="10244" max="10245" width="8.85546875" style="316"/>
    <col min="10246" max="10246" width="15.7109375" style="316" customWidth="1"/>
    <col min="10247" max="10247" width="10.7109375" style="316" customWidth="1"/>
    <col min="10248" max="10248" width="12.28515625" style="316" customWidth="1"/>
    <col min="10249" max="10249" width="12.5703125" style="316" customWidth="1"/>
    <col min="10250" max="10250" width="12.42578125" style="316" customWidth="1"/>
    <col min="10251" max="10251" width="12" style="316" customWidth="1"/>
    <col min="10252" max="10252" width="8.85546875" style="316"/>
    <col min="10253" max="10253" width="11.7109375" style="316" bestFit="1" customWidth="1"/>
    <col min="10254" max="10254" width="8.85546875" style="316"/>
    <col min="10255" max="10255" width="11.7109375" style="316" bestFit="1" customWidth="1"/>
    <col min="10256" max="10495" width="8.85546875" style="316"/>
    <col min="10496" max="10496" width="4.7109375" style="316" customWidth="1"/>
    <col min="10497" max="10497" width="5.140625" style="316" customWidth="1"/>
    <col min="10498" max="10498" width="16.140625" style="316" customWidth="1"/>
    <col min="10499" max="10499" width="9.140625" style="316" customWidth="1"/>
    <col min="10500" max="10501" width="8.85546875" style="316"/>
    <col min="10502" max="10502" width="15.7109375" style="316" customWidth="1"/>
    <col min="10503" max="10503" width="10.7109375" style="316" customWidth="1"/>
    <col min="10504" max="10504" width="12.28515625" style="316" customWidth="1"/>
    <col min="10505" max="10505" width="12.5703125" style="316" customWidth="1"/>
    <col min="10506" max="10506" width="12.42578125" style="316" customWidth="1"/>
    <col min="10507" max="10507" width="12" style="316" customWidth="1"/>
    <col min="10508" max="10508" width="8.85546875" style="316"/>
    <col min="10509" max="10509" width="11.7109375" style="316" bestFit="1" customWidth="1"/>
    <col min="10510" max="10510" width="8.85546875" style="316"/>
    <col min="10511" max="10511" width="11.7109375" style="316" bestFit="1" customWidth="1"/>
    <col min="10512" max="10751" width="8.85546875" style="316"/>
    <col min="10752" max="10752" width="4.7109375" style="316" customWidth="1"/>
    <col min="10753" max="10753" width="5.140625" style="316" customWidth="1"/>
    <col min="10754" max="10754" width="16.140625" style="316" customWidth="1"/>
    <col min="10755" max="10755" width="9.140625" style="316" customWidth="1"/>
    <col min="10756" max="10757" width="8.85546875" style="316"/>
    <col min="10758" max="10758" width="15.7109375" style="316" customWidth="1"/>
    <col min="10759" max="10759" width="10.7109375" style="316" customWidth="1"/>
    <col min="10760" max="10760" width="12.28515625" style="316" customWidth="1"/>
    <col min="10761" max="10761" width="12.5703125" style="316" customWidth="1"/>
    <col min="10762" max="10762" width="12.42578125" style="316" customWidth="1"/>
    <col min="10763" max="10763" width="12" style="316" customWidth="1"/>
    <col min="10764" max="10764" width="8.85546875" style="316"/>
    <col min="10765" max="10765" width="11.7109375" style="316" bestFit="1" customWidth="1"/>
    <col min="10766" max="10766" width="8.85546875" style="316"/>
    <col min="10767" max="10767" width="11.7109375" style="316" bestFit="1" customWidth="1"/>
    <col min="10768" max="11007" width="8.85546875" style="316"/>
    <col min="11008" max="11008" width="4.7109375" style="316" customWidth="1"/>
    <col min="11009" max="11009" width="5.140625" style="316" customWidth="1"/>
    <col min="11010" max="11010" width="16.140625" style="316" customWidth="1"/>
    <col min="11011" max="11011" width="9.140625" style="316" customWidth="1"/>
    <col min="11012" max="11013" width="8.85546875" style="316"/>
    <col min="11014" max="11014" width="15.7109375" style="316" customWidth="1"/>
    <col min="11015" max="11015" width="10.7109375" style="316" customWidth="1"/>
    <col min="11016" max="11016" width="12.28515625" style="316" customWidth="1"/>
    <col min="11017" max="11017" width="12.5703125" style="316" customWidth="1"/>
    <col min="11018" max="11018" width="12.42578125" style="316" customWidth="1"/>
    <col min="11019" max="11019" width="12" style="316" customWidth="1"/>
    <col min="11020" max="11020" width="8.85546875" style="316"/>
    <col min="11021" max="11021" width="11.7109375" style="316" bestFit="1" customWidth="1"/>
    <col min="11022" max="11022" width="8.85546875" style="316"/>
    <col min="11023" max="11023" width="11.7109375" style="316" bestFit="1" customWidth="1"/>
    <col min="11024" max="11263" width="8.85546875" style="316"/>
    <col min="11264" max="11264" width="4.7109375" style="316" customWidth="1"/>
    <col min="11265" max="11265" width="5.140625" style="316" customWidth="1"/>
    <col min="11266" max="11266" width="16.140625" style="316" customWidth="1"/>
    <col min="11267" max="11267" width="9.140625" style="316" customWidth="1"/>
    <col min="11268" max="11269" width="8.85546875" style="316"/>
    <col min="11270" max="11270" width="15.7109375" style="316" customWidth="1"/>
    <col min="11271" max="11271" width="10.7109375" style="316" customWidth="1"/>
    <col min="11272" max="11272" width="12.28515625" style="316" customWidth="1"/>
    <col min="11273" max="11273" width="12.5703125" style="316" customWidth="1"/>
    <col min="11274" max="11274" width="12.42578125" style="316" customWidth="1"/>
    <col min="11275" max="11275" width="12" style="316" customWidth="1"/>
    <col min="11276" max="11276" width="8.85546875" style="316"/>
    <col min="11277" max="11277" width="11.7109375" style="316" bestFit="1" customWidth="1"/>
    <col min="11278" max="11278" width="8.85546875" style="316"/>
    <col min="11279" max="11279" width="11.7109375" style="316" bestFit="1" customWidth="1"/>
    <col min="11280" max="11519" width="8.85546875" style="316"/>
    <col min="11520" max="11520" width="4.7109375" style="316" customWidth="1"/>
    <col min="11521" max="11521" width="5.140625" style="316" customWidth="1"/>
    <col min="11522" max="11522" width="16.140625" style="316" customWidth="1"/>
    <col min="11523" max="11523" width="9.140625" style="316" customWidth="1"/>
    <col min="11524" max="11525" width="8.85546875" style="316"/>
    <col min="11526" max="11526" width="15.7109375" style="316" customWidth="1"/>
    <col min="11527" max="11527" width="10.7109375" style="316" customWidth="1"/>
    <col min="11528" max="11528" width="12.28515625" style="316" customWidth="1"/>
    <col min="11529" max="11529" width="12.5703125" style="316" customWidth="1"/>
    <col min="11530" max="11530" width="12.42578125" style="316" customWidth="1"/>
    <col min="11531" max="11531" width="12" style="316" customWidth="1"/>
    <col min="11532" max="11532" width="8.85546875" style="316"/>
    <col min="11533" max="11533" width="11.7109375" style="316" bestFit="1" customWidth="1"/>
    <col min="11534" max="11534" width="8.85546875" style="316"/>
    <col min="11535" max="11535" width="11.7109375" style="316" bestFit="1" customWidth="1"/>
    <col min="11536" max="11775" width="8.85546875" style="316"/>
    <col min="11776" max="11776" width="4.7109375" style="316" customWidth="1"/>
    <col min="11777" max="11777" width="5.140625" style="316" customWidth="1"/>
    <col min="11778" max="11778" width="16.140625" style="316" customWidth="1"/>
    <col min="11779" max="11779" width="9.140625" style="316" customWidth="1"/>
    <col min="11780" max="11781" width="8.85546875" style="316"/>
    <col min="11782" max="11782" width="15.7109375" style="316" customWidth="1"/>
    <col min="11783" max="11783" width="10.7109375" style="316" customWidth="1"/>
    <col min="11784" max="11784" width="12.28515625" style="316" customWidth="1"/>
    <col min="11785" max="11785" width="12.5703125" style="316" customWidth="1"/>
    <col min="11786" max="11786" width="12.42578125" style="316" customWidth="1"/>
    <col min="11787" max="11787" width="12" style="316" customWidth="1"/>
    <col min="11788" max="11788" width="8.85546875" style="316"/>
    <col min="11789" max="11789" width="11.7109375" style="316" bestFit="1" customWidth="1"/>
    <col min="11790" max="11790" width="8.85546875" style="316"/>
    <col min="11791" max="11791" width="11.7109375" style="316" bestFit="1" customWidth="1"/>
    <col min="11792" max="12031" width="8.85546875" style="316"/>
    <col min="12032" max="12032" width="4.7109375" style="316" customWidth="1"/>
    <col min="12033" max="12033" width="5.140625" style="316" customWidth="1"/>
    <col min="12034" max="12034" width="16.140625" style="316" customWidth="1"/>
    <col min="12035" max="12035" width="9.140625" style="316" customWidth="1"/>
    <col min="12036" max="12037" width="8.85546875" style="316"/>
    <col min="12038" max="12038" width="15.7109375" style="316" customWidth="1"/>
    <col min="12039" max="12039" width="10.7109375" style="316" customWidth="1"/>
    <col min="12040" max="12040" width="12.28515625" style="316" customWidth="1"/>
    <col min="12041" max="12041" width="12.5703125" style="316" customWidth="1"/>
    <col min="12042" max="12042" width="12.42578125" style="316" customWidth="1"/>
    <col min="12043" max="12043" width="12" style="316" customWidth="1"/>
    <col min="12044" max="12044" width="8.85546875" style="316"/>
    <col min="12045" max="12045" width="11.7109375" style="316" bestFit="1" customWidth="1"/>
    <col min="12046" max="12046" width="8.85546875" style="316"/>
    <col min="12047" max="12047" width="11.7109375" style="316" bestFit="1" customWidth="1"/>
    <col min="12048" max="12287" width="8.85546875" style="316"/>
    <col min="12288" max="12288" width="4.7109375" style="316" customWidth="1"/>
    <col min="12289" max="12289" width="5.140625" style="316" customWidth="1"/>
    <col min="12290" max="12290" width="16.140625" style="316" customWidth="1"/>
    <col min="12291" max="12291" width="9.140625" style="316" customWidth="1"/>
    <col min="12292" max="12293" width="8.85546875" style="316"/>
    <col min="12294" max="12294" width="15.7109375" style="316" customWidth="1"/>
    <col min="12295" max="12295" width="10.7109375" style="316" customWidth="1"/>
    <col min="12296" max="12296" width="12.28515625" style="316" customWidth="1"/>
    <col min="12297" max="12297" width="12.5703125" style="316" customWidth="1"/>
    <col min="12298" max="12298" width="12.42578125" style="316" customWidth="1"/>
    <col min="12299" max="12299" width="12" style="316" customWidth="1"/>
    <col min="12300" max="12300" width="8.85546875" style="316"/>
    <col min="12301" max="12301" width="11.7109375" style="316" bestFit="1" customWidth="1"/>
    <col min="12302" max="12302" width="8.85546875" style="316"/>
    <col min="12303" max="12303" width="11.7109375" style="316" bestFit="1" customWidth="1"/>
    <col min="12304" max="12543" width="8.85546875" style="316"/>
    <col min="12544" max="12544" width="4.7109375" style="316" customWidth="1"/>
    <col min="12545" max="12545" width="5.140625" style="316" customWidth="1"/>
    <col min="12546" max="12546" width="16.140625" style="316" customWidth="1"/>
    <col min="12547" max="12547" width="9.140625" style="316" customWidth="1"/>
    <col min="12548" max="12549" width="8.85546875" style="316"/>
    <col min="12550" max="12550" width="15.7109375" style="316" customWidth="1"/>
    <col min="12551" max="12551" width="10.7109375" style="316" customWidth="1"/>
    <col min="12552" max="12552" width="12.28515625" style="316" customWidth="1"/>
    <col min="12553" max="12553" width="12.5703125" style="316" customWidth="1"/>
    <col min="12554" max="12554" width="12.42578125" style="316" customWidth="1"/>
    <col min="12555" max="12555" width="12" style="316" customWidth="1"/>
    <col min="12556" max="12556" width="8.85546875" style="316"/>
    <col min="12557" max="12557" width="11.7109375" style="316" bestFit="1" customWidth="1"/>
    <col min="12558" max="12558" width="8.85546875" style="316"/>
    <col min="12559" max="12559" width="11.7109375" style="316" bestFit="1" customWidth="1"/>
    <col min="12560" max="12799" width="8.85546875" style="316"/>
    <col min="12800" max="12800" width="4.7109375" style="316" customWidth="1"/>
    <col min="12801" max="12801" width="5.140625" style="316" customWidth="1"/>
    <col min="12802" max="12802" width="16.140625" style="316" customWidth="1"/>
    <col min="12803" max="12803" width="9.140625" style="316" customWidth="1"/>
    <col min="12804" max="12805" width="8.85546875" style="316"/>
    <col min="12806" max="12806" width="15.7109375" style="316" customWidth="1"/>
    <col min="12807" max="12807" width="10.7109375" style="316" customWidth="1"/>
    <col min="12808" max="12808" width="12.28515625" style="316" customWidth="1"/>
    <col min="12809" max="12809" width="12.5703125" style="316" customWidth="1"/>
    <col min="12810" max="12810" width="12.42578125" style="316" customWidth="1"/>
    <col min="12811" max="12811" width="12" style="316" customWidth="1"/>
    <col min="12812" max="12812" width="8.85546875" style="316"/>
    <col min="12813" max="12813" width="11.7109375" style="316" bestFit="1" customWidth="1"/>
    <col min="12814" max="12814" width="8.85546875" style="316"/>
    <col min="12815" max="12815" width="11.7109375" style="316" bestFit="1" customWidth="1"/>
    <col min="12816" max="13055" width="8.85546875" style="316"/>
    <col min="13056" max="13056" width="4.7109375" style="316" customWidth="1"/>
    <col min="13057" max="13057" width="5.140625" style="316" customWidth="1"/>
    <col min="13058" max="13058" width="16.140625" style="316" customWidth="1"/>
    <col min="13059" max="13059" width="9.140625" style="316" customWidth="1"/>
    <col min="13060" max="13061" width="8.85546875" style="316"/>
    <col min="13062" max="13062" width="15.7109375" style="316" customWidth="1"/>
    <col min="13063" max="13063" width="10.7109375" style="316" customWidth="1"/>
    <col min="13064" max="13064" width="12.28515625" style="316" customWidth="1"/>
    <col min="13065" max="13065" width="12.5703125" style="316" customWidth="1"/>
    <col min="13066" max="13066" width="12.42578125" style="316" customWidth="1"/>
    <col min="13067" max="13067" width="12" style="316" customWidth="1"/>
    <col min="13068" max="13068" width="8.85546875" style="316"/>
    <col min="13069" max="13069" width="11.7109375" style="316" bestFit="1" customWidth="1"/>
    <col min="13070" max="13070" width="8.85546875" style="316"/>
    <col min="13071" max="13071" width="11.7109375" style="316" bestFit="1" customWidth="1"/>
    <col min="13072" max="13311" width="8.85546875" style="316"/>
    <col min="13312" max="13312" width="4.7109375" style="316" customWidth="1"/>
    <col min="13313" max="13313" width="5.140625" style="316" customWidth="1"/>
    <col min="13314" max="13314" width="16.140625" style="316" customWidth="1"/>
    <col min="13315" max="13315" width="9.140625" style="316" customWidth="1"/>
    <col min="13316" max="13317" width="8.85546875" style="316"/>
    <col min="13318" max="13318" width="15.7109375" style="316" customWidth="1"/>
    <col min="13319" max="13319" width="10.7109375" style="316" customWidth="1"/>
    <col min="13320" max="13320" width="12.28515625" style="316" customWidth="1"/>
    <col min="13321" max="13321" width="12.5703125" style="316" customWidth="1"/>
    <col min="13322" max="13322" width="12.42578125" style="316" customWidth="1"/>
    <col min="13323" max="13323" width="12" style="316" customWidth="1"/>
    <col min="13324" max="13324" width="8.85546875" style="316"/>
    <col min="13325" max="13325" width="11.7109375" style="316" bestFit="1" customWidth="1"/>
    <col min="13326" max="13326" width="8.85546875" style="316"/>
    <col min="13327" max="13327" width="11.7109375" style="316" bestFit="1" customWidth="1"/>
    <col min="13328" max="13567" width="8.85546875" style="316"/>
    <col min="13568" max="13568" width="4.7109375" style="316" customWidth="1"/>
    <col min="13569" max="13569" width="5.140625" style="316" customWidth="1"/>
    <col min="13570" max="13570" width="16.140625" style="316" customWidth="1"/>
    <col min="13571" max="13571" width="9.140625" style="316" customWidth="1"/>
    <col min="13572" max="13573" width="8.85546875" style="316"/>
    <col min="13574" max="13574" width="15.7109375" style="316" customWidth="1"/>
    <col min="13575" max="13575" width="10.7109375" style="316" customWidth="1"/>
    <col min="13576" max="13576" width="12.28515625" style="316" customWidth="1"/>
    <col min="13577" max="13577" width="12.5703125" style="316" customWidth="1"/>
    <col min="13578" max="13578" width="12.42578125" style="316" customWidth="1"/>
    <col min="13579" max="13579" width="12" style="316" customWidth="1"/>
    <col min="13580" max="13580" width="8.85546875" style="316"/>
    <col min="13581" max="13581" width="11.7109375" style="316" bestFit="1" customWidth="1"/>
    <col min="13582" max="13582" width="8.85546875" style="316"/>
    <col min="13583" max="13583" width="11.7109375" style="316" bestFit="1" customWidth="1"/>
    <col min="13584" max="13823" width="8.85546875" style="316"/>
    <col min="13824" max="13824" width="4.7109375" style="316" customWidth="1"/>
    <col min="13825" max="13825" width="5.140625" style="316" customWidth="1"/>
    <col min="13826" max="13826" width="16.140625" style="316" customWidth="1"/>
    <col min="13827" max="13827" width="9.140625" style="316" customWidth="1"/>
    <col min="13828" max="13829" width="8.85546875" style="316"/>
    <col min="13830" max="13830" width="15.7109375" style="316" customWidth="1"/>
    <col min="13831" max="13831" width="10.7109375" style="316" customWidth="1"/>
    <col min="13832" max="13832" width="12.28515625" style="316" customWidth="1"/>
    <col min="13833" max="13833" width="12.5703125" style="316" customWidth="1"/>
    <col min="13834" max="13834" width="12.42578125" style="316" customWidth="1"/>
    <col min="13835" max="13835" width="12" style="316" customWidth="1"/>
    <col min="13836" max="13836" width="8.85546875" style="316"/>
    <col min="13837" max="13837" width="11.7109375" style="316" bestFit="1" customWidth="1"/>
    <col min="13838" max="13838" width="8.85546875" style="316"/>
    <col min="13839" max="13839" width="11.7109375" style="316" bestFit="1" customWidth="1"/>
    <col min="13840" max="14079" width="8.85546875" style="316"/>
    <col min="14080" max="14080" width="4.7109375" style="316" customWidth="1"/>
    <col min="14081" max="14081" width="5.140625" style="316" customWidth="1"/>
    <col min="14082" max="14082" width="16.140625" style="316" customWidth="1"/>
    <col min="14083" max="14083" width="9.140625" style="316" customWidth="1"/>
    <col min="14084" max="14085" width="8.85546875" style="316"/>
    <col min="14086" max="14086" width="15.7109375" style="316" customWidth="1"/>
    <col min="14087" max="14087" width="10.7109375" style="316" customWidth="1"/>
    <col min="14088" max="14088" width="12.28515625" style="316" customWidth="1"/>
    <col min="14089" max="14089" width="12.5703125" style="316" customWidth="1"/>
    <col min="14090" max="14090" width="12.42578125" style="316" customWidth="1"/>
    <col min="14091" max="14091" width="12" style="316" customWidth="1"/>
    <col min="14092" max="14092" width="8.85546875" style="316"/>
    <col min="14093" max="14093" width="11.7109375" style="316" bestFit="1" customWidth="1"/>
    <col min="14094" max="14094" width="8.85546875" style="316"/>
    <col min="14095" max="14095" width="11.7109375" style="316" bestFit="1" customWidth="1"/>
    <col min="14096" max="14335" width="8.85546875" style="316"/>
    <col min="14336" max="14336" width="4.7109375" style="316" customWidth="1"/>
    <col min="14337" max="14337" width="5.140625" style="316" customWidth="1"/>
    <col min="14338" max="14338" width="16.140625" style="316" customWidth="1"/>
    <col min="14339" max="14339" width="9.140625" style="316" customWidth="1"/>
    <col min="14340" max="14341" width="8.85546875" style="316"/>
    <col min="14342" max="14342" width="15.7109375" style="316" customWidth="1"/>
    <col min="14343" max="14343" width="10.7109375" style="316" customWidth="1"/>
    <col min="14344" max="14344" width="12.28515625" style="316" customWidth="1"/>
    <col min="14345" max="14345" width="12.5703125" style="316" customWidth="1"/>
    <col min="14346" max="14346" width="12.42578125" style="316" customWidth="1"/>
    <col min="14347" max="14347" width="12" style="316" customWidth="1"/>
    <col min="14348" max="14348" width="8.85546875" style="316"/>
    <col min="14349" max="14349" width="11.7109375" style="316" bestFit="1" customWidth="1"/>
    <col min="14350" max="14350" width="8.85546875" style="316"/>
    <col min="14351" max="14351" width="11.7109375" style="316" bestFit="1" customWidth="1"/>
    <col min="14352" max="14591" width="8.85546875" style="316"/>
    <col min="14592" max="14592" width="4.7109375" style="316" customWidth="1"/>
    <col min="14593" max="14593" width="5.140625" style="316" customWidth="1"/>
    <col min="14594" max="14594" width="16.140625" style="316" customWidth="1"/>
    <col min="14595" max="14595" width="9.140625" style="316" customWidth="1"/>
    <col min="14596" max="14597" width="8.85546875" style="316"/>
    <col min="14598" max="14598" width="15.7109375" style="316" customWidth="1"/>
    <col min="14599" max="14599" width="10.7109375" style="316" customWidth="1"/>
    <col min="14600" max="14600" width="12.28515625" style="316" customWidth="1"/>
    <col min="14601" max="14601" width="12.5703125" style="316" customWidth="1"/>
    <col min="14602" max="14602" width="12.42578125" style="316" customWidth="1"/>
    <col min="14603" max="14603" width="12" style="316" customWidth="1"/>
    <col min="14604" max="14604" width="8.85546875" style="316"/>
    <col min="14605" max="14605" width="11.7109375" style="316" bestFit="1" customWidth="1"/>
    <col min="14606" max="14606" width="8.85546875" style="316"/>
    <col min="14607" max="14607" width="11.7109375" style="316" bestFit="1" customWidth="1"/>
    <col min="14608" max="14847" width="8.85546875" style="316"/>
    <col min="14848" max="14848" width="4.7109375" style="316" customWidth="1"/>
    <col min="14849" max="14849" width="5.140625" style="316" customWidth="1"/>
    <col min="14850" max="14850" width="16.140625" style="316" customWidth="1"/>
    <col min="14851" max="14851" width="9.140625" style="316" customWidth="1"/>
    <col min="14852" max="14853" width="8.85546875" style="316"/>
    <col min="14854" max="14854" width="15.7109375" style="316" customWidth="1"/>
    <col min="14855" max="14855" width="10.7109375" style="316" customWidth="1"/>
    <col min="14856" max="14856" width="12.28515625" style="316" customWidth="1"/>
    <col min="14857" max="14857" width="12.5703125" style="316" customWidth="1"/>
    <col min="14858" max="14858" width="12.42578125" style="316" customWidth="1"/>
    <col min="14859" max="14859" width="12" style="316" customWidth="1"/>
    <col min="14860" max="14860" width="8.85546875" style="316"/>
    <col min="14861" max="14861" width="11.7109375" style="316" bestFit="1" customWidth="1"/>
    <col min="14862" max="14862" width="8.85546875" style="316"/>
    <col min="14863" max="14863" width="11.7109375" style="316" bestFit="1" customWidth="1"/>
    <col min="14864" max="15103" width="8.85546875" style="316"/>
    <col min="15104" max="15104" width="4.7109375" style="316" customWidth="1"/>
    <col min="15105" max="15105" width="5.140625" style="316" customWidth="1"/>
    <col min="15106" max="15106" width="16.140625" style="316" customWidth="1"/>
    <col min="15107" max="15107" width="9.140625" style="316" customWidth="1"/>
    <col min="15108" max="15109" width="8.85546875" style="316"/>
    <col min="15110" max="15110" width="15.7109375" style="316" customWidth="1"/>
    <col min="15111" max="15111" width="10.7109375" style="316" customWidth="1"/>
    <col min="15112" max="15112" width="12.28515625" style="316" customWidth="1"/>
    <col min="15113" max="15113" width="12.5703125" style="316" customWidth="1"/>
    <col min="15114" max="15114" width="12.42578125" style="316" customWidth="1"/>
    <col min="15115" max="15115" width="12" style="316" customWidth="1"/>
    <col min="15116" max="15116" width="8.85546875" style="316"/>
    <col min="15117" max="15117" width="11.7109375" style="316" bestFit="1" customWidth="1"/>
    <col min="15118" max="15118" width="8.85546875" style="316"/>
    <col min="15119" max="15119" width="11.7109375" style="316" bestFit="1" customWidth="1"/>
    <col min="15120" max="15359" width="8.85546875" style="316"/>
    <col min="15360" max="15360" width="4.7109375" style="316" customWidth="1"/>
    <col min="15361" max="15361" width="5.140625" style="316" customWidth="1"/>
    <col min="15362" max="15362" width="16.140625" style="316" customWidth="1"/>
    <col min="15363" max="15363" width="9.140625" style="316" customWidth="1"/>
    <col min="15364" max="15365" width="8.85546875" style="316"/>
    <col min="15366" max="15366" width="15.7109375" style="316" customWidth="1"/>
    <col min="15367" max="15367" width="10.7109375" style="316" customWidth="1"/>
    <col min="15368" max="15368" width="12.28515625" style="316" customWidth="1"/>
    <col min="15369" max="15369" width="12.5703125" style="316" customWidth="1"/>
    <col min="15370" max="15370" width="12.42578125" style="316" customWidth="1"/>
    <col min="15371" max="15371" width="12" style="316" customWidth="1"/>
    <col min="15372" max="15372" width="8.85546875" style="316"/>
    <col min="15373" max="15373" width="11.7109375" style="316" bestFit="1" customWidth="1"/>
    <col min="15374" max="15374" width="8.85546875" style="316"/>
    <col min="15375" max="15375" width="11.7109375" style="316" bestFit="1" customWidth="1"/>
    <col min="15376" max="15615" width="8.85546875" style="316"/>
    <col min="15616" max="15616" width="4.7109375" style="316" customWidth="1"/>
    <col min="15617" max="15617" width="5.140625" style="316" customWidth="1"/>
    <col min="15618" max="15618" width="16.140625" style="316" customWidth="1"/>
    <col min="15619" max="15619" width="9.140625" style="316" customWidth="1"/>
    <col min="15620" max="15621" width="8.85546875" style="316"/>
    <col min="15622" max="15622" width="15.7109375" style="316" customWidth="1"/>
    <col min="15623" max="15623" width="10.7109375" style="316" customWidth="1"/>
    <col min="15624" max="15624" width="12.28515625" style="316" customWidth="1"/>
    <col min="15625" max="15625" width="12.5703125" style="316" customWidth="1"/>
    <col min="15626" max="15626" width="12.42578125" style="316" customWidth="1"/>
    <col min="15627" max="15627" width="12" style="316" customWidth="1"/>
    <col min="15628" max="15628" width="8.85546875" style="316"/>
    <col min="15629" max="15629" width="11.7109375" style="316" bestFit="1" customWidth="1"/>
    <col min="15630" max="15630" width="8.85546875" style="316"/>
    <col min="15631" max="15631" width="11.7109375" style="316" bestFit="1" customWidth="1"/>
    <col min="15632" max="15871" width="8.85546875" style="316"/>
    <col min="15872" max="15872" width="4.7109375" style="316" customWidth="1"/>
    <col min="15873" max="15873" width="5.140625" style="316" customWidth="1"/>
    <col min="15874" max="15874" width="16.140625" style="316" customWidth="1"/>
    <col min="15875" max="15875" width="9.140625" style="316" customWidth="1"/>
    <col min="15876" max="15877" width="8.85546875" style="316"/>
    <col min="15878" max="15878" width="15.7109375" style="316" customWidth="1"/>
    <col min="15879" max="15879" width="10.7109375" style="316" customWidth="1"/>
    <col min="15880" max="15880" width="12.28515625" style="316" customWidth="1"/>
    <col min="15881" max="15881" width="12.5703125" style="316" customWidth="1"/>
    <col min="15882" max="15882" width="12.42578125" style="316" customWidth="1"/>
    <col min="15883" max="15883" width="12" style="316" customWidth="1"/>
    <col min="15884" max="15884" width="8.85546875" style="316"/>
    <col min="15885" max="15885" width="11.7109375" style="316" bestFit="1" customWidth="1"/>
    <col min="15886" max="15886" width="8.85546875" style="316"/>
    <col min="15887" max="15887" width="11.7109375" style="316" bestFit="1" customWidth="1"/>
    <col min="15888" max="16127" width="8.85546875" style="316"/>
    <col min="16128" max="16128" width="4.7109375" style="316" customWidth="1"/>
    <col min="16129" max="16129" width="5.140625" style="316" customWidth="1"/>
    <col min="16130" max="16130" width="16.140625" style="316" customWidth="1"/>
    <col min="16131" max="16131" width="9.140625" style="316" customWidth="1"/>
    <col min="16132" max="16133" width="8.85546875" style="316"/>
    <col min="16134" max="16134" width="15.7109375" style="316" customWidth="1"/>
    <col min="16135" max="16135" width="10.7109375" style="316" customWidth="1"/>
    <col min="16136" max="16136" width="12.28515625" style="316" customWidth="1"/>
    <col min="16137" max="16137" width="12.5703125" style="316" customWidth="1"/>
    <col min="16138" max="16138" width="12.42578125" style="316" customWidth="1"/>
    <col min="16139" max="16139" width="12" style="316" customWidth="1"/>
    <col min="16140" max="16140" width="8.85546875" style="316"/>
    <col min="16141" max="16141" width="11.7109375" style="316" bestFit="1" customWidth="1"/>
    <col min="16142" max="16142" width="8.85546875" style="316"/>
    <col min="16143" max="16143" width="11.7109375" style="316" bestFit="1" customWidth="1"/>
    <col min="16144" max="16383" width="8.85546875" style="316"/>
    <col min="16384" max="16384" width="8.85546875" style="316" customWidth="1"/>
  </cols>
  <sheetData>
    <row r="2" spans="2:11" ht="30" customHeight="1" x14ac:dyDescent="0.2">
      <c r="B2" s="411" t="s">
        <v>340</v>
      </c>
      <c r="C2" s="411"/>
      <c r="D2" s="411"/>
      <c r="E2" s="411"/>
      <c r="F2" s="411"/>
      <c r="G2" s="411"/>
      <c r="H2" s="411"/>
      <c r="I2" s="411"/>
      <c r="J2" s="411"/>
      <c r="K2" s="411"/>
    </row>
    <row r="3" spans="2:11" ht="12.75" customHeight="1" x14ac:dyDescent="0.2">
      <c r="B3" s="411"/>
      <c r="C3" s="411"/>
      <c r="D3" s="411"/>
      <c r="E3" s="411"/>
      <c r="F3" s="411"/>
      <c r="G3" s="411"/>
      <c r="H3" s="411"/>
      <c r="I3" s="411"/>
      <c r="J3" s="411"/>
      <c r="K3" s="411"/>
    </row>
    <row r="6" spans="2:11" ht="13.5" thickBot="1" x14ac:dyDescent="0.25"/>
    <row r="7" spans="2:11" ht="13.5" customHeight="1" thickBot="1" x14ac:dyDescent="0.25">
      <c r="B7" s="373" t="s">
        <v>304</v>
      </c>
      <c r="C7" s="375" t="s">
        <v>305</v>
      </c>
      <c r="D7" s="375"/>
      <c r="E7" s="375"/>
      <c r="F7" s="376"/>
      <c r="G7" s="379" t="s">
        <v>306</v>
      </c>
      <c r="H7" s="381" t="s">
        <v>307</v>
      </c>
      <c r="I7" s="381" t="s">
        <v>308</v>
      </c>
      <c r="J7" s="383" t="s">
        <v>309</v>
      </c>
      <c r="K7" s="384"/>
    </row>
    <row r="8" spans="2:11" ht="39" customHeight="1" thickBot="1" x14ac:dyDescent="0.25">
      <c r="B8" s="374"/>
      <c r="C8" s="377"/>
      <c r="D8" s="377"/>
      <c r="E8" s="377"/>
      <c r="F8" s="378"/>
      <c r="G8" s="380"/>
      <c r="H8" s="382"/>
      <c r="I8" s="382"/>
      <c r="J8" s="318" t="s">
        <v>310</v>
      </c>
      <c r="K8" s="318" t="s">
        <v>311</v>
      </c>
    </row>
    <row r="9" spans="2:11" ht="13.5" thickBot="1" x14ac:dyDescent="0.25">
      <c r="B9" s="319">
        <v>1</v>
      </c>
      <c r="C9" s="385">
        <v>3</v>
      </c>
      <c r="D9" s="385"/>
      <c r="E9" s="385"/>
      <c r="F9" s="386"/>
      <c r="G9" s="319">
        <v>4</v>
      </c>
      <c r="H9" s="320">
        <v>5</v>
      </c>
      <c r="I9" s="321">
        <v>6</v>
      </c>
      <c r="J9" s="387">
        <v>7</v>
      </c>
      <c r="K9" s="388"/>
    </row>
    <row r="10" spans="2:11" ht="42.75" customHeight="1" thickBot="1" x14ac:dyDescent="0.25">
      <c r="B10" s="426" t="s">
        <v>300</v>
      </c>
      <c r="C10" s="424" t="s">
        <v>333</v>
      </c>
      <c r="D10" s="424"/>
      <c r="E10" s="424"/>
      <c r="F10" s="425"/>
      <c r="G10" s="412" t="s">
        <v>312</v>
      </c>
      <c r="H10" s="413"/>
      <c r="I10" s="414"/>
      <c r="J10" s="322">
        <f>J11+J12</f>
        <v>0</v>
      </c>
      <c r="K10" s="323">
        <f>PRODUCT(J10*1.23)</f>
        <v>0</v>
      </c>
    </row>
    <row r="11" spans="2:11" ht="27" customHeight="1" thickBot="1" x14ac:dyDescent="0.25">
      <c r="B11" s="324">
        <v>1</v>
      </c>
      <c r="C11" s="389" t="s">
        <v>329</v>
      </c>
      <c r="D11" s="390"/>
      <c r="E11" s="390"/>
      <c r="F11" s="391"/>
      <c r="G11" s="342" t="s">
        <v>139</v>
      </c>
      <c r="H11" s="326">
        <v>5</v>
      </c>
      <c r="I11" s="326">
        <v>0</v>
      </c>
      <c r="J11" s="326">
        <f>PRODUCT(H11,I11)</f>
        <v>0</v>
      </c>
      <c r="K11" s="327">
        <f>PRODUCT(J11,1.23)</f>
        <v>0</v>
      </c>
    </row>
    <row r="12" spans="2:11" ht="27" customHeight="1" thickBot="1" x14ac:dyDescent="0.25">
      <c r="B12" s="343">
        <v>2</v>
      </c>
      <c r="C12" s="389" t="s">
        <v>324</v>
      </c>
      <c r="D12" s="390"/>
      <c r="E12" s="390"/>
      <c r="F12" s="391"/>
      <c r="G12" s="342" t="s">
        <v>89</v>
      </c>
      <c r="H12" s="326">
        <v>1</v>
      </c>
      <c r="I12" s="326">
        <v>0</v>
      </c>
      <c r="J12" s="326">
        <f>PRODUCT(H12,I12)</f>
        <v>0</v>
      </c>
      <c r="K12" s="327">
        <f>PRODUCT(J12,1.23)</f>
        <v>0</v>
      </c>
    </row>
    <row r="13" spans="2:11" ht="26.25" customHeight="1" thickBot="1" x14ac:dyDescent="0.25">
      <c r="B13" s="344" t="s">
        <v>301</v>
      </c>
      <c r="C13" s="392" t="s">
        <v>334</v>
      </c>
      <c r="D13" s="392"/>
      <c r="E13" s="392"/>
      <c r="F13" s="393"/>
      <c r="G13" s="415" t="s">
        <v>313</v>
      </c>
      <c r="H13" s="413"/>
      <c r="I13" s="414"/>
      <c r="J13" s="328">
        <f>J14+J15</f>
        <v>0</v>
      </c>
      <c r="K13" s="329">
        <f>PRODUCT(J13,1.23)</f>
        <v>0</v>
      </c>
    </row>
    <row r="14" spans="2:11" ht="34.15" customHeight="1" thickBot="1" x14ac:dyDescent="0.25">
      <c r="B14" s="325">
        <v>1</v>
      </c>
      <c r="C14" s="389" t="s">
        <v>325</v>
      </c>
      <c r="D14" s="390"/>
      <c r="E14" s="390"/>
      <c r="F14" s="391"/>
      <c r="G14" s="342" t="s">
        <v>89</v>
      </c>
      <c r="H14" s="326">
        <v>1</v>
      </c>
      <c r="I14" s="326">
        <v>0</v>
      </c>
      <c r="J14" s="326">
        <f t="shared" ref="J14" si="0">PRODUCT(H14,I14)</f>
        <v>0</v>
      </c>
      <c r="K14" s="327">
        <f>PRODUCT(J14,1.23)</f>
        <v>0</v>
      </c>
    </row>
    <row r="15" spans="2:11" ht="29.45" customHeight="1" thickBot="1" x14ac:dyDescent="0.25">
      <c r="B15" s="325">
        <v>2</v>
      </c>
      <c r="C15" s="389" t="s">
        <v>326</v>
      </c>
      <c r="D15" s="390"/>
      <c r="E15" s="390"/>
      <c r="F15" s="391"/>
      <c r="G15" s="342" t="s">
        <v>17</v>
      </c>
      <c r="H15" s="326">
        <v>1700</v>
      </c>
      <c r="I15" s="326">
        <v>0</v>
      </c>
      <c r="J15" s="326">
        <f t="shared" ref="J15" si="1">PRODUCT(H15,I15)</f>
        <v>0</v>
      </c>
      <c r="K15" s="327">
        <f>PRODUCT(J15,1.23)</f>
        <v>0</v>
      </c>
    </row>
    <row r="16" spans="2:11" ht="25.5" customHeight="1" thickBot="1" x14ac:dyDescent="0.25">
      <c r="B16" s="345" t="s">
        <v>302</v>
      </c>
      <c r="C16" s="394" t="s">
        <v>335</v>
      </c>
      <c r="D16" s="395"/>
      <c r="E16" s="395"/>
      <c r="F16" s="396"/>
      <c r="G16" s="415" t="s">
        <v>313</v>
      </c>
      <c r="H16" s="416"/>
      <c r="I16" s="414"/>
      <c r="J16" s="329">
        <f>SUM(J17:J18)</f>
        <v>0</v>
      </c>
      <c r="K16" s="330">
        <f t="shared" ref="K16:K34" si="2">PRODUCT(J16,1.23)</f>
        <v>0</v>
      </c>
    </row>
    <row r="17" spans="2:13" ht="30" customHeight="1" thickBot="1" x14ac:dyDescent="0.25">
      <c r="B17" s="324">
        <v>1</v>
      </c>
      <c r="C17" s="389" t="s">
        <v>331</v>
      </c>
      <c r="D17" s="390"/>
      <c r="E17" s="390"/>
      <c r="F17" s="391"/>
      <c r="G17" s="325" t="s">
        <v>18</v>
      </c>
      <c r="H17" s="326">
        <v>1</v>
      </c>
      <c r="I17" s="326">
        <v>0</v>
      </c>
      <c r="J17" s="326">
        <v>0</v>
      </c>
      <c r="K17" s="327">
        <f t="shared" si="2"/>
        <v>0</v>
      </c>
    </row>
    <row r="18" spans="2:13" ht="27.6" customHeight="1" thickBot="1" x14ac:dyDescent="0.25">
      <c r="B18" s="324">
        <v>2</v>
      </c>
      <c r="C18" s="397" t="s">
        <v>330</v>
      </c>
      <c r="D18" s="398"/>
      <c r="E18" s="398"/>
      <c r="F18" s="399"/>
      <c r="G18" s="325" t="s">
        <v>18</v>
      </c>
      <c r="H18" s="326">
        <v>1</v>
      </c>
      <c r="I18" s="327">
        <v>0</v>
      </c>
      <c r="J18" s="326">
        <f>PRODUCT(H18,I18)</f>
        <v>0</v>
      </c>
      <c r="K18" s="327">
        <f t="shared" si="2"/>
        <v>0</v>
      </c>
    </row>
    <row r="19" spans="2:13" ht="27.75" customHeight="1" thickBot="1" x14ac:dyDescent="0.25">
      <c r="B19" s="331" t="s">
        <v>303</v>
      </c>
      <c r="C19" s="394" t="s">
        <v>336</v>
      </c>
      <c r="D19" s="394"/>
      <c r="E19" s="394"/>
      <c r="F19" s="401"/>
      <c r="G19" s="415" t="s">
        <v>314</v>
      </c>
      <c r="H19" s="413"/>
      <c r="I19" s="414"/>
      <c r="J19" s="329">
        <f>SUM(J20:J27)</f>
        <v>0</v>
      </c>
      <c r="K19" s="330">
        <f t="shared" si="2"/>
        <v>0</v>
      </c>
      <c r="M19" s="315"/>
    </row>
    <row r="20" spans="2:13" ht="27.75" customHeight="1" thickBot="1" x14ac:dyDescent="0.25">
      <c r="B20" s="324">
        <v>1</v>
      </c>
      <c r="C20" s="389" t="s">
        <v>319</v>
      </c>
      <c r="D20" s="390"/>
      <c r="E20" s="390"/>
      <c r="F20" s="391"/>
      <c r="G20" s="325" t="s">
        <v>17</v>
      </c>
      <c r="H20" s="326">
        <v>80</v>
      </c>
      <c r="I20" s="326">
        <v>0</v>
      </c>
      <c r="J20" s="326">
        <f t="shared" ref="J20:J27" si="3">PRODUCT(H20,I20)</f>
        <v>0</v>
      </c>
      <c r="K20" s="327">
        <f t="shared" si="2"/>
        <v>0</v>
      </c>
    </row>
    <row r="21" spans="2:13" ht="27.75" customHeight="1" thickBot="1" x14ac:dyDescent="0.25">
      <c r="B21" s="324">
        <v>2</v>
      </c>
      <c r="C21" s="389" t="s">
        <v>320</v>
      </c>
      <c r="D21" s="390"/>
      <c r="E21" s="390"/>
      <c r="F21" s="391"/>
      <c r="G21" s="325" t="s">
        <v>17</v>
      </c>
      <c r="H21" s="326">
        <v>300</v>
      </c>
      <c r="I21" s="326">
        <v>0</v>
      </c>
      <c r="J21" s="326">
        <f t="shared" si="3"/>
        <v>0</v>
      </c>
      <c r="K21" s="327">
        <f t="shared" si="2"/>
        <v>0</v>
      </c>
    </row>
    <row r="22" spans="2:13" ht="27.75" customHeight="1" thickBot="1" x14ac:dyDescent="0.25">
      <c r="B22" s="346">
        <v>3</v>
      </c>
      <c r="C22" s="402" t="s">
        <v>339</v>
      </c>
      <c r="D22" s="403"/>
      <c r="E22" s="403"/>
      <c r="F22" s="404"/>
      <c r="G22" s="347" t="s">
        <v>17</v>
      </c>
      <c r="H22" s="348">
        <v>3200</v>
      </c>
      <c r="I22" s="348">
        <v>0</v>
      </c>
      <c r="J22" s="348">
        <f t="shared" si="3"/>
        <v>0</v>
      </c>
      <c r="K22" s="349">
        <f t="shared" si="2"/>
        <v>0</v>
      </c>
    </row>
    <row r="23" spans="2:13" ht="27.75" customHeight="1" thickBot="1" x14ac:dyDescent="0.25">
      <c r="B23" s="324">
        <v>4</v>
      </c>
      <c r="C23" s="389" t="s">
        <v>321</v>
      </c>
      <c r="D23" s="390"/>
      <c r="E23" s="390"/>
      <c r="F23" s="391"/>
      <c r="G23" s="342" t="s">
        <v>17</v>
      </c>
      <c r="H23" s="326">
        <v>4300</v>
      </c>
      <c r="I23" s="326">
        <v>0</v>
      </c>
      <c r="J23" s="326">
        <f t="shared" si="3"/>
        <v>0</v>
      </c>
      <c r="K23" s="327">
        <f t="shared" si="2"/>
        <v>0</v>
      </c>
    </row>
    <row r="24" spans="2:13" ht="27.75" customHeight="1" thickBot="1" x14ac:dyDescent="0.25">
      <c r="B24" s="324">
        <v>5</v>
      </c>
      <c r="C24" s="389" t="s">
        <v>327</v>
      </c>
      <c r="D24" s="390"/>
      <c r="E24" s="390"/>
      <c r="F24" s="391"/>
      <c r="G24" s="342" t="s">
        <v>89</v>
      </c>
      <c r="H24" s="326">
        <v>1</v>
      </c>
      <c r="I24" s="326">
        <v>0</v>
      </c>
      <c r="J24" s="326">
        <f t="shared" si="3"/>
        <v>0</v>
      </c>
      <c r="K24" s="327">
        <f t="shared" si="2"/>
        <v>0</v>
      </c>
    </row>
    <row r="25" spans="2:13" ht="27.75" customHeight="1" thickBot="1" x14ac:dyDescent="0.25">
      <c r="B25" s="324">
        <v>6</v>
      </c>
      <c r="C25" s="389" t="s">
        <v>328</v>
      </c>
      <c r="D25" s="390"/>
      <c r="E25" s="390"/>
      <c r="F25" s="391"/>
      <c r="G25" s="342" t="s">
        <v>89</v>
      </c>
      <c r="H25" s="326">
        <v>2</v>
      </c>
      <c r="I25" s="326">
        <v>0</v>
      </c>
      <c r="J25" s="326">
        <f t="shared" si="3"/>
        <v>0</v>
      </c>
      <c r="K25" s="327">
        <f t="shared" si="2"/>
        <v>0</v>
      </c>
    </row>
    <row r="26" spans="2:13" ht="27.75" customHeight="1" thickBot="1" x14ac:dyDescent="0.25">
      <c r="B26" s="324">
        <v>7</v>
      </c>
      <c r="C26" s="389" t="s">
        <v>322</v>
      </c>
      <c r="D26" s="390"/>
      <c r="E26" s="390"/>
      <c r="F26" s="391"/>
      <c r="G26" s="342" t="s">
        <v>89</v>
      </c>
      <c r="H26" s="326">
        <v>1</v>
      </c>
      <c r="I26" s="326">
        <v>0</v>
      </c>
      <c r="J26" s="326">
        <f t="shared" si="3"/>
        <v>0</v>
      </c>
      <c r="K26" s="327">
        <f t="shared" si="2"/>
        <v>0</v>
      </c>
    </row>
    <row r="27" spans="2:13" ht="27.75" customHeight="1" thickBot="1" x14ac:dyDescent="0.25">
      <c r="B27" s="324">
        <v>8</v>
      </c>
      <c r="C27" s="389" t="s">
        <v>323</v>
      </c>
      <c r="D27" s="390"/>
      <c r="E27" s="390"/>
      <c r="F27" s="391"/>
      <c r="G27" s="342" t="s">
        <v>139</v>
      </c>
      <c r="H27" s="326">
        <v>3</v>
      </c>
      <c r="I27" s="326">
        <v>0</v>
      </c>
      <c r="J27" s="326">
        <f t="shared" si="3"/>
        <v>0</v>
      </c>
      <c r="K27" s="327">
        <f t="shared" si="2"/>
        <v>0</v>
      </c>
    </row>
    <row r="28" spans="2:13" ht="27.75" hidden="1" customHeight="1" thickBot="1" x14ac:dyDescent="0.25">
      <c r="B28" s="324"/>
      <c r="C28" s="400"/>
      <c r="D28" s="390"/>
      <c r="E28" s="390"/>
      <c r="F28" s="391"/>
      <c r="G28" s="324"/>
      <c r="H28" s="326"/>
      <c r="I28" s="326"/>
      <c r="J28" s="326"/>
      <c r="K28" s="327"/>
    </row>
    <row r="29" spans="2:13" ht="27.75" hidden="1" customHeight="1" thickBot="1" x14ac:dyDescent="0.25">
      <c r="B29" s="324"/>
      <c r="C29" s="400"/>
      <c r="D29" s="390"/>
      <c r="E29" s="390"/>
      <c r="F29" s="391"/>
      <c r="G29" s="324"/>
      <c r="H29" s="326"/>
      <c r="I29" s="326"/>
      <c r="J29" s="326"/>
      <c r="K29" s="327"/>
    </row>
    <row r="30" spans="2:13" ht="27.75" hidden="1" customHeight="1" thickBot="1" x14ac:dyDescent="0.25">
      <c r="B30" s="324"/>
      <c r="C30" s="400"/>
      <c r="D30" s="390"/>
      <c r="E30" s="390"/>
      <c r="F30" s="391"/>
      <c r="G30" s="324"/>
      <c r="H30" s="326"/>
      <c r="I30" s="326"/>
      <c r="J30" s="326"/>
      <c r="K30" s="327"/>
    </row>
    <row r="31" spans="2:13" ht="66" hidden="1" customHeight="1" thickBot="1" x14ac:dyDescent="0.25">
      <c r="B31" s="324"/>
      <c r="C31" s="400"/>
      <c r="D31" s="390"/>
      <c r="E31" s="390"/>
      <c r="F31" s="391"/>
      <c r="G31" s="324"/>
      <c r="H31" s="326"/>
      <c r="I31" s="326"/>
      <c r="J31" s="326"/>
      <c r="K31" s="327"/>
    </row>
    <row r="32" spans="2:13" ht="27.75" hidden="1" customHeight="1" thickBot="1" x14ac:dyDescent="0.25">
      <c r="B32" s="324"/>
      <c r="C32" s="400"/>
      <c r="D32" s="390"/>
      <c r="E32" s="390"/>
      <c r="F32" s="391"/>
      <c r="G32" s="324"/>
      <c r="H32" s="326"/>
      <c r="I32" s="326"/>
      <c r="J32" s="326"/>
      <c r="K32" s="327"/>
    </row>
    <row r="33" spans="2:11" ht="27.75" hidden="1" customHeight="1" thickBot="1" x14ac:dyDescent="0.25">
      <c r="B33" s="324"/>
      <c r="C33" s="400"/>
      <c r="D33" s="390"/>
      <c r="E33" s="390"/>
      <c r="F33" s="391"/>
      <c r="G33" s="324"/>
      <c r="H33" s="326"/>
      <c r="I33" s="326"/>
      <c r="J33" s="326"/>
      <c r="K33" s="327"/>
    </row>
    <row r="34" spans="2:11" ht="27.75" customHeight="1" thickBot="1" x14ac:dyDescent="0.25">
      <c r="B34" s="331" t="s">
        <v>315</v>
      </c>
      <c r="C34" s="394" t="s">
        <v>337</v>
      </c>
      <c r="D34" s="394"/>
      <c r="E34" s="394"/>
      <c r="F34" s="401"/>
      <c r="G34" s="415" t="s">
        <v>316</v>
      </c>
      <c r="H34" s="413"/>
      <c r="I34" s="414"/>
      <c r="J34" s="329">
        <f>SUM(J35:J37)</f>
        <v>0</v>
      </c>
      <c r="K34" s="330">
        <f t="shared" si="2"/>
        <v>0</v>
      </c>
    </row>
    <row r="35" spans="2:11" ht="27.75" customHeight="1" thickBot="1" x14ac:dyDescent="0.25">
      <c r="B35" s="332">
        <v>1</v>
      </c>
      <c r="C35" s="405" t="s">
        <v>332</v>
      </c>
      <c r="D35" s="406"/>
      <c r="E35" s="406"/>
      <c r="F35" s="407"/>
      <c r="G35" s="333" t="s">
        <v>18</v>
      </c>
      <c r="H35" s="334">
        <v>1</v>
      </c>
      <c r="I35" s="335">
        <v>0</v>
      </c>
      <c r="J35" s="336">
        <f>PRODUCT(H35*I35)</f>
        <v>0</v>
      </c>
      <c r="K35" s="337">
        <f>PRODUCT(J35*1.23)</f>
        <v>0</v>
      </c>
    </row>
    <row r="36" spans="2:11" ht="27.75" hidden="1" customHeight="1" thickBot="1" x14ac:dyDescent="0.25">
      <c r="B36" s="332">
        <v>2</v>
      </c>
      <c r="C36" s="408"/>
      <c r="D36" s="409"/>
      <c r="E36" s="409"/>
      <c r="F36" s="410"/>
      <c r="G36" s="333" t="s">
        <v>18</v>
      </c>
      <c r="H36" s="334">
        <v>1</v>
      </c>
      <c r="I36" s="338"/>
      <c r="J36" s="336"/>
      <c r="K36" s="337"/>
    </row>
    <row r="37" spans="2:11" ht="27.75" hidden="1" customHeight="1" thickBot="1" x14ac:dyDescent="0.25">
      <c r="B37" s="324">
        <v>3</v>
      </c>
      <c r="C37" s="400" t="s">
        <v>317</v>
      </c>
      <c r="D37" s="390"/>
      <c r="E37" s="390"/>
      <c r="F37" s="391"/>
      <c r="G37" s="324" t="s">
        <v>18</v>
      </c>
      <c r="H37" s="326">
        <v>1</v>
      </c>
      <c r="I37" s="326"/>
      <c r="J37" s="336">
        <f>PRODUCT(H37*I37)</f>
        <v>0</v>
      </c>
      <c r="K37" s="337">
        <f>PRODUCT(J37*1.23)</f>
        <v>0</v>
      </c>
    </row>
    <row r="38" spans="2:11" ht="25.5" customHeight="1" thickBot="1" x14ac:dyDescent="0.25">
      <c r="B38" s="417" t="s">
        <v>338</v>
      </c>
      <c r="C38" s="418"/>
      <c r="D38" s="418"/>
      <c r="E38" s="418"/>
      <c r="F38" s="419"/>
      <c r="G38" s="420" t="s">
        <v>318</v>
      </c>
      <c r="H38" s="421" t="s">
        <v>318</v>
      </c>
      <c r="I38" s="421" t="s">
        <v>318</v>
      </c>
      <c r="J38" s="422">
        <f>SUM(J34+J19+J16+J13+J10)</f>
        <v>0</v>
      </c>
      <c r="K38" s="423">
        <f>PRODUCT(J38*1.23)</f>
        <v>0</v>
      </c>
    </row>
    <row r="48" spans="2:11" x14ac:dyDescent="0.2">
      <c r="C48" s="339"/>
      <c r="D48" s="339"/>
      <c r="E48" s="339"/>
      <c r="F48" s="339"/>
      <c r="G48" s="340"/>
    </row>
    <row r="49" spans="3:7" x14ac:dyDescent="0.2">
      <c r="C49" s="339"/>
      <c r="D49" s="339"/>
      <c r="E49" s="339"/>
      <c r="F49" s="339"/>
      <c r="G49" s="340"/>
    </row>
    <row r="50" spans="3:7" x14ac:dyDescent="0.2">
      <c r="C50" s="341"/>
    </row>
    <row r="51" spans="3:7" x14ac:dyDescent="0.2">
      <c r="C51" s="341"/>
    </row>
    <row r="52" spans="3:7" hidden="1" x14ac:dyDescent="0.2">
      <c r="C52" s="341"/>
    </row>
    <row r="53" spans="3:7" hidden="1" x14ac:dyDescent="0.2">
      <c r="C53" s="341"/>
    </row>
    <row r="54" spans="3:7" hidden="1" x14ac:dyDescent="0.2">
      <c r="C54" s="341"/>
    </row>
    <row r="55" spans="3:7" hidden="1" x14ac:dyDescent="0.2">
      <c r="C55" s="341"/>
    </row>
    <row r="56" spans="3:7" x14ac:dyDescent="0.2">
      <c r="C56" s="341"/>
    </row>
    <row r="57" spans="3:7" x14ac:dyDescent="0.2">
      <c r="C57" s="341"/>
    </row>
  </sheetData>
  <mergeCells count="43">
    <mergeCell ref="B38:F38"/>
    <mergeCell ref="C33:F33"/>
    <mergeCell ref="C34:F34"/>
    <mergeCell ref="G34:I34"/>
    <mergeCell ref="C35:F35"/>
    <mergeCell ref="C36:F36"/>
    <mergeCell ref="C37:F37"/>
    <mergeCell ref="C32:F32"/>
    <mergeCell ref="G19:I19"/>
    <mergeCell ref="C20:F20"/>
    <mergeCell ref="C21:F21"/>
    <mergeCell ref="C19:F19"/>
    <mergeCell ref="C22:F22"/>
    <mergeCell ref="C23:F23"/>
    <mergeCell ref="C26:F26"/>
    <mergeCell ref="C27:F27"/>
    <mergeCell ref="C28:F28"/>
    <mergeCell ref="C29:F29"/>
    <mergeCell ref="C30:F30"/>
    <mergeCell ref="C31:F31"/>
    <mergeCell ref="C16:F16"/>
    <mergeCell ref="G16:I16"/>
    <mergeCell ref="C17:F17"/>
    <mergeCell ref="C24:F24"/>
    <mergeCell ref="C25:F25"/>
    <mergeCell ref="C18:F18"/>
    <mergeCell ref="J7:K7"/>
    <mergeCell ref="C9:F9"/>
    <mergeCell ref="J9:K9"/>
    <mergeCell ref="C14:F14"/>
    <mergeCell ref="C15:F15"/>
    <mergeCell ref="C13:F13"/>
    <mergeCell ref="G13:I13"/>
    <mergeCell ref="I7:I8"/>
    <mergeCell ref="C12:F12"/>
    <mergeCell ref="C10:F10"/>
    <mergeCell ref="G10:I10"/>
    <mergeCell ref="C11:F11"/>
    <mergeCell ref="B7:B8"/>
    <mergeCell ref="C7:F8"/>
    <mergeCell ref="G7:G8"/>
    <mergeCell ref="H7:H8"/>
    <mergeCell ref="B2:K3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3</vt:i4>
      </vt:variant>
    </vt:vector>
  </HeadingPairs>
  <TitlesOfParts>
    <vt:vector size="10" baseType="lpstr">
      <vt:lpstr>Gorkiego 18</vt:lpstr>
      <vt:lpstr>Piłsudskiego 133</vt:lpstr>
      <vt:lpstr>Siedlecka 1</vt:lpstr>
      <vt:lpstr>Krzemieniecka 2a</vt:lpstr>
      <vt:lpstr>Struga 90</vt:lpstr>
      <vt:lpstr>Struga 90 - obmiar</vt:lpstr>
      <vt:lpstr>Kosztorys</vt:lpstr>
      <vt:lpstr>'Gorkiego 18'!Obszar_wydruku</vt:lpstr>
      <vt:lpstr>'Krzemieniecka 2a'!Obszar_wydruku</vt:lpstr>
      <vt:lpstr>'Piłsudskiego 133'!Obszar_wydruku</vt:lpstr>
    </vt:vector>
  </TitlesOfParts>
  <Company>PHIN Consulting Sp. z o. 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mkobiela</dc:creator>
  <cp:lastModifiedBy>Agnieszka Tyczyńska</cp:lastModifiedBy>
  <cp:lastPrinted>2017-10-20T11:55:41Z</cp:lastPrinted>
  <dcterms:created xsi:type="dcterms:W3CDTF">2016-05-16T08:41:15Z</dcterms:created>
  <dcterms:modified xsi:type="dcterms:W3CDTF">2018-03-07T12:49:47Z</dcterms:modified>
</cp:coreProperties>
</file>